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8830" windowHeight="6195" tabRatio="858"/>
  </bookViews>
  <sheets>
    <sheet name="B1- ORÇAMENTO - PEV" sheetId="24" r:id="rId1"/>
    <sheet name="B2 - TOTEM" sheetId="27" r:id="rId2"/>
    <sheet name="B3 - MEMORIA" sheetId="30" r:id="rId3"/>
    <sheet name="B4 - BAIAS" sheetId="29" r:id="rId4"/>
    <sheet name="B5 - COMPOSIÇÃO" sheetId="33" r:id="rId5"/>
    <sheet name="C - FÍSICO FINANCEIRO" sheetId="31" r:id="rId6"/>
    <sheet name="D - DESEMBOLSO" sheetId="34" r:id="rId7"/>
    <sheet name="E - BDI" sheetId="25" r:id="rId8"/>
  </sheets>
  <definedNames>
    <definedName name="_xlnm.Print_Area" localSheetId="0">'B1- ORÇAMENTO - PEV'!$A$3:$G$219</definedName>
    <definedName name="_xlnm.Print_Area" localSheetId="1">'B2 - TOTEM'!$A$2:$K$38</definedName>
    <definedName name="_xlnm.Print_Area" localSheetId="2">'B3 - MEMORIA'!$A$4:$J$200</definedName>
    <definedName name="_xlnm.Print_Area" localSheetId="3">'B4 - BAIAS'!$A$1:$G$91</definedName>
    <definedName name="_xlnm.Print_Area" localSheetId="4">'B5 - COMPOSIÇÃO'!$A$1:$G$148</definedName>
    <definedName name="_xlnm.Print_Area" localSheetId="5">'C - FÍSICO FINANCEIRO'!$B$2:$O$45</definedName>
    <definedName name="_xlnm.Print_Area" localSheetId="6">'D - DESEMBOLSO'!$A$1:$F$34</definedName>
    <definedName name="_xlnm.Print_Titles" localSheetId="0">'B1- ORÇAMENTO - PEV'!$1:$11</definedName>
    <definedName name="_xlnm.Print_Titles" localSheetId="2">'B3 - MEMORIA'!$4:$7</definedName>
    <definedName name="_xlnm.Print_Titles" localSheetId="3">'B4 - BAIAS'!$1:$4</definedName>
    <definedName name="_xlnm.Print_Titles" localSheetId="4">'B5 - COMPOSIÇÃO'!$1:$4</definedName>
  </definedNames>
  <calcPr calcId="145621"/>
</workbook>
</file>

<file path=xl/calcChain.xml><?xml version="1.0" encoding="utf-8"?>
<calcChain xmlns="http://schemas.openxmlformats.org/spreadsheetml/2006/main">
  <c r="G7" i="29" l="1"/>
  <c r="A43" i="24" l="1"/>
  <c r="C83" i="29"/>
  <c r="D4" i="25"/>
  <c r="B5" i="25"/>
  <c r="B6" i="25"/>
  <c r="B5" i="34"/>
  <c r="E4" i="34"/>
  <c r="H9" i="27"/>
  <c r="G83" i="29" l="1"/>
  <c r="I5" i="31"/>
  <c r="E176" i="24"/>
  <c r="E175" i="24"/>
  <c r="D8" i="31" l="1"/>
  <c r="B7" i="34"/>
  <c r="B7" i="25"/>
  <c r="D7" i="31"/>
  <c r="B6" i="34"/>
  <c r="E153" i="24"/>
  <c r="E124" i="24"/>
  <c r="E91" i="24"/>
  <c r="E90" i="24"/>
  <c r="H192" i="30"/>
  <c r="E61" i="24"/>
  <c r="E54" i="24"/>
  <c r="E22" i="24" l="1"/>
  <c r="D191" i="30"/>
  <c r="F191" i="30"/>
  <c r="F192" i="30"/>
  <c r="B187" i="30"/>
  <c r="E157" i="30"/>
  <c r="E153" i="30"/>
  <c r="E40" i="30"/>
  <c r="F146" i="30"/>
  <c r="F145" i="30" s="1"/>
  <c r="F149" i="30"/>
  <c r="F148" i="30"/>
  <c r="F147" i="30"/>
  <c r="G144" i="30"/>
  <c r="F101" i="30"/>
  <c r="F100" i="30"/>
  <c r="E52" i="30"/>
  <c r="B6" i="24" l="1"/>
  <c r="F4" i="24"/>
  <c r="J3" i="27"/>
  <c r="I5" i="30"/>
  <c r="F2" i="29"/>
  <c r="F2" i="33"/>
  <c r="D5" i="31"/>
  <c r="N3" i="31"/>
  <c r="B4" i="25"/>
  <c r="E2" i="25"/>
  <c r="B4" i="34"/>
  <c r="F2" i="34"/>
  <c r="E41" i="25" l="1"/>
  <c r="E163" i="24"/>
  <c r="E154" i="24"/>
  <c r="B153" i="30" l="1"/>
  <c r="E64" i="30"/>
  <c r="E65" i="30"/>
  <c r="F64" i="30"/>
  <c r="F65" i="30"/>
  <c r="G64" i="30"/>
  <c r="G65" i="30"/>
  <c r="H64" i="30"/>
  <c r="H65" i="30"/>
  <c r="H48" i="30"/>
  <c r="E47" i="24" s="1"/>
  <c r="I65" i="30" l="1"/>
  <c r="I64" i="30"/>
  <c r="G70" i="29" l="1"/>
  <c r="E99" i="24"/>
  <c r="E100" i="24"/>
  <c r="E125" i="24"/>
  <c r="A41" i="24" l="1"/>
  <c r="A40" i="24"/>
  <c r="A39" i="24"/>
  <c r="H63" i="30"/>
  <c r="G63" i="30"/>
  <c r="F63" i="30"/>
  <c r="E63" i="30"/>
  <c r="F183" i="30"/>
  <c r="A94" i="24"/>
  <c r="A83" i="24"/>
  <c r="E204" i="24"/>
  <c r="E190" i="24"/>
  <c r="E191" i="24"/>
  <c r="E195" i="24"/>
  <c r="E201" i="24"/>
  <c r="E188" i="24"/>
  <c r="E151" i="24"/>
  <c r="E92" i="24"/>
  <c r="D192" i="30"/>
  <c r="F187" i="30"/>
  <c r="D187" i="30"/>
  <c r="F181" i="30"/>
  <c r="D181" i="30"/>
  <c r="D177" i="30"/>
  <c r="H175" i="30"/>
  <c r="B177" i="30" s="1"/>
  <c r="E64" i="24"/>
  <c r="H62" i="30"/>
  <c r="H66" i="30"/>
  <c r="H67" i="30"/>
  <c r="H68" i="30"/>
  <c r="H61" i="30"/>
  <c r="G62" i="30"/>
  <c r="G66" i="30"/>
  <c r="G67" i="30"/>
  <c r="G68" i="30"/>
  <c r="G61" i="30"/>
  <c r="F62" i="30"/>
  <c r="F66" i="30"/>
  <c r="F67" i="30"/>
  <c r="F68" i="30"/>
  <c r="F61" i="30"/>
  <c r="E62" i="30"/>
  <c r="E66" i="30"/>
  <c r="E67" i="30"/>
  <c r="E68" i="30"/>
  <c r="E61" i="30"/>
  <c r="H171" i="30"/>
  <c r="H177" i="30" l="1"/>
  <c r="E67" i="24" s="1"/>
  <c r="I63" i="30"/>
  <c r="E59" i="24"/>
  <c r="E60" i="24"/>
  <c r="H181" i="30"/>
  <c r="B183" i="30" s="1"/>
  <c r="H183" i="30" s="1"/>
  <c r="E69" i="24" s="1"/>
  <c r="H187" i="30"/>
  <c r="E70" i="24" s="1"/>
  <c r="E87" i="24"/>
  <c r="H191" i="30"/>
  <c r="E85" i="24" s="1"/>
  <c r="E88" i="24" l="1"/>
  <c r="E86" i="24"/>
  <c r="E93" i="24"/>
  <c r="H121" i="30"/>
  <c r="H120" i="30"/>
  <c r="H75" i="30"/>
  <c r="H82" i="30"/>
  <c r="H83" i="30"/>
  <c r="H74" i="30"/>
  <c r="H81" i="30"/>
  <c r="H80" i="30"/>
  <c r="H73" i="30"/>
  <c r="H56" i="30"/>
  <c r="E49" i="24" s="1"/>
  <c r="D21" i="30"/>
  <c r="F21" i="30"/>
  <c r="D44" i="30" s="1"/>
  <c r="E98" i="24" l="1"/>
  <c r="E103" i="24"/>
  <c r="H76" i="30"/>
  <c r="G84" i="30"/>
  <c r="E76" i="24" s="1"/>
  <c r="H21" i="30"/>
  <c r="E15" i="24" s="1"/>
  <c r="B44" i="30"/>
  <c r="E75" i="24" l="1"/>
  <c r="E77" i="24" s="1"/>
  <c r="E193" i="24"/>
  <c r="I44" i="30"/>
  <c r="B21" i="30"/>
  <c r="A190" i="24"/>
  <c r="A170" i="24"/>
  <c r="A142" i="24"/>
  <c r="A64" i="24"/>
  <c r="A50" i="24"/>
  <c r="E34" i="24" l="1"/>
  <c r="H52" i="30"/>
  <c r="E53" i="24" s="1"/>
  <c r="E183" i="24"/>
  <c r="E186" i="24"/>
  <c r="A36" i="24"/>
  <c r="A35" i="24"/>
  <c r="A34" i="24"/>
  <c r="A21" i="24"/>
  <c r="A20" i="24"/>
  <c r="A19" i="24"/>
  <c r="C198" i="24" l="1"/>
  <c r="E155" i="24" l="1"/>
  <c r="E157" i="24"/>
  <c r="H27" i="30"/>
  <c r="H26" i="30"/>
  <c r="H111" i="30"/>
  <c r="H109" i="30"/>
  <c r="H105" i="30"/>
  <c r="H100" i="30"/>
  <c r="H93" i="30"/>
  <c r="E184" i="24"/>
  <c r="H127" i="30"/>
  <c r="H126" i="30"/>
  <c r="H116" i="30"/>
  <c r="H117" i="30"/>
  <c r="H118" i="30"/>
  <c r="H119" i="30"/>
  <c r="H115" i="30"/>
  <c r="H88" i="30"/>
  <c r="H89" i="30" s="1"/>
  <c r="E79" i="24" s="1"/>
  <c r="J69" i="30"/>
  <c r="H69" i="30"/>
  <c r="G11" i="30"/>
  <c r="G10" i="30"/>
  <c r="E166" i="24"/>
  <c r="C83" i="24"/>
  <c r="E67" i="33"/>
  <c r="E66" i="33"/>
  <c r="E65" i="33"/>
  <c r="E60" i="33"/>
  <c r="E59" i="33"/>
  <c r="E55" i="33"/>
  <c r="E54" i="33"/>
  <c r="E52" i="33"/>
  <c r="C33" i="31"/>
  <c r="F20" i="27"/>
  <c r="F19" i="27"/>
  <c r="F18" i="27"/>
  <c r="B7" i="33"/>
  <c r="D82" i="29"/>
  <c r="D81" i="29"/>
  <c r="B39" i="33"/>
  <c r="E42" i="24"/>
  <c r="G61" i="29"/>
  <c r="G62" i="29"/>
  <c r="G63" i="29"/>
  <c r="G60" i="29"/>
  <c r="G40" i="29"/>
  <c r="G41" i="29"/>
  <c r="G39" i="29"/>
  <c r="G38" i="29"/>
  <c r="F15" i="29"/>
  <c r="F16" i="29"/>
  <c r="F17" i="29"/>
  <c r="F18" i="29"/>
  <c r="E20" i="25"/>
  <c r="E29" i="25"/>
  <c r="H153" i="30"/>
  <c r="H122" i="30" l="1"/>
  <c r="E73" i="24" s="1"/>
  <c r="E20" i="24"/>
  <c r="H25" i="30"/>
  <c r="E102" i="24"/>
  <c r="E187" i="24"/>
  <c r="E68" i="24"/>
  <c r="G43" i="29"/>
  <c r="E40" i="24" s="1"/>
  <c r="G65" i="29"/>
  <c r="E41" i="24" s="1"/>
  <c r="A32" i="25"/>
  <c r="D33" i="25" s="1"/>
  <c r="G69" i="30"/>
  <c r="I61" i="30"/>
  <c r="I68" i="30"/>
  <c r="H102" i="30"/>
  <c r="H95" i="30"/>
  <c r="G12" i="30"/>
  <c r="F144" i="30"/>
  <c r="F21" i="29"/>
  <c r="C80" i="29" s="1"/>
  <c r="G80" i="29" s="1"/>
  <c r="F69" i="30"/>
  <c r="E69" i="30"/>
  <c r="I66" i="30"/>
  <c r="I67" i="30"/>
  <c r="H28" i="30"/>
  <c r="H128" i="30"/>
  <c r="G50" i="29"/>
  <c r="G28" i="29"/>
  <c r="C82" i="29"/>
  <c r="G82" i="29" s="1"/>
  <c r="I62" i="30"/>
  <c r="C81" i="29" l="1"/>
  <c r="G81" i="29" s="1"/>
  <c r="G84" i="29" s="1"/>
  <c r="E44" i="24" s="1"/>
  <c r="E101" i="24"/>
  <c r="E39" i="24"/>
  <c r="E13" i="24"/>
  <c r="E30" i="24"/>
  <c r="E31" i="24"/>
  <c r="E26" i="24"/>
  <c r="B157" i="30"/>
  <c r="E197" i="24"/>
  <c r="E198" i="24"/>
  <c r="E199" i="24"/>
  <c r="E66" i="24"/>
  <c r="E65" i="24"/>
  <c r="E63" i="24"/>
  <c r="I69" i="30"/>
  <c r="B16" i="30"/>
  <c r="F16" i="30" s="1"/>
  <c r="H16" i="30" s="1"/>
  <c r="H157" i="30"/>
  <c r="B32" i="30"/>
  <c r="H32" i="30" s="1"/>
  <c r="P23" i="31" l="1"/>
  <c r="P27" i="31"/>
  <c r="E200" i="24"/>
  <c r="B36" i="30"/>
  <c r="G36" i="30" s="1"/>
  <c r="E28" i="24"/>
  <c r="E14" i="24"/>
  <c r="E71" i="24"/>
  <c r="B40" i="30"/>
  <c r="G40" i="30" s="1"/>
  <c r="E29" i="24" l="1"/>
  <c r="P15" i="31" s="1"/>
  <c r="E48" i="24"/>
  <c r="P33" i="31" l="1"/>
  <c r="P29" i="31"/>
  <c r="P25" i="31"/>
  <c r="P17" i="31" l="1"/>
  <c r="P13" i="31"/>
  <c r="P19" i="31"/>
  <c r="P31" i="31"/>
  <c r="P21" i="31" l="1"/>
  <c r="P35" i="31" l="1"/>
</calcChain>
</file>

<file path=xl/sharedStrings.xml><?xml version="1.0" encoding="utf-8"?>
<sst xmlns="http://schemas.openxmlformats.org/spreadsheetml/2006/main" count="1524" uniqueCount="811">
  <si>
    <t>FUNDAÇÃO</t>
  </si>
  <si>
    <t>ITEM</t>
  </si>
  <si>
    <t>KG</t>
  </si>
  <si>
    <t>BAIAS</t>
  </si>
  <si>
    <t>PAINÉIS DE MADEIRA FECHADOS COM TELA</t>
  </si>
  <si>
    <t>SERVIÇOS PRELIMINARES</t>
  </si>
  <si>
    <t>TRATAMENTO PAISAGÍSTICO</t>
  </si>
  <si>
    <t>EDIFICAÇÃO DE APOIO</t>
  </si>
  <si>
    <t>M.</t>
  </si>
  <si>
    <t>ALVENARIA</t>
  </si>
  <si>
    <t>PISOS</t>
  </si>
  <si>
    <t>LAJE</t>
  </si>
  <si>
    <t>PORTAS E JANELAS</t>
  </si>
  <si>
    <t>REVESTIMENTO E PINTURA</t>
  </si>
  <si>
    <t>INSTALAÇÃO ELETRICA E DE TELEFONIA (INCLUSO TRECHO ENTRE ENTRADA E Q.D)</t>
  </si>
  <si>
    <t>COMBATE A INCÊNDIO</t>
  </si>
  <si>
    <t>TOTEM</t>
  </si>
  <si>
    <t>TOTEM METÁLICO COM POSTE DE AÇO, ESTRUTURA EM CANTONEIRA E CHAPA DE ZINCO PINTADA</t>
  </si>
  <si>
    <t xml:space="preserve">MOVIMENTO DE TERRA E EXECUÇÃO PLATAFORMA DE RECEBIMENTO DOS RESÍDUOS </t>
  </si>
  <si>
    <t>EXTINTOR INCENDIO AGUA-PRESSURIZADA 10L INCL SUPORTE PAREDE CARGA COMPLETA FORNECIMENTO E COLOCAÇÃO</t>
  </si>
  <si>
    <t>LAJE PRE-MOLDADA P/FORRO, SOBRECARGA 100KG/M2, VAOS ATE 3,50M/E=8CM, C/LAJOTA E CAP.C/CONC FCK=20MPA, 3 CM, INTRE-EIXO 38 CM, COM ESCORAMENTO (REAPR. 3X) E FERRAGEM NEGATIVA.</t>
  </si>
  <si>
    <t>UNID</t>
  </si>
  <si>
    <t>DESCRIÇÃO</t>
  </si>
  <si>
    <t>M²</t>
  </si>
  <si>
    <t>M</t>
  </si>
  <si>
    <t>M³</t>
  </si>
  <si>
    <t>LOCAL</t>
  </si>
  <si>
    <t>6.1</t>
  </si>
  <si>
    <t>6.2</t>
  </si>
  <si>
    <t>7.1</t>
  </si>
  <si>
    <t>8.1</t>
  </si>
  <si>
    <t>FORNECIMENTO E PLANTIO DE ARBUSTO ORNAMENTAL - (abertura de covas adubação e manutenção até a entrega da obra)</t>
  </si>
  <si>
    <t>TOTAL GERAL</t>
  </si>
  <si>
    <t>PINTURA SOBRE REBOCO COM TINTA LATEX PVA</t>
  </si>
  <si>
    <t>Onde:</t>
  </si>
  <si>
    <t xml:space="preserve"> ∑IDi é o somatório dos diversos índices de despesas indiretas estimadas, incidentes sobre os custos diretos orçados;</t>
  </si>
  <si>
    <t xml:space="preserve"> ∑IVi é o somatório dos índices percentuais, de benefício (lucro líquido) e outras despesas indiretas (impostos e taxas) incidentes sobre o preço de venda (incidentes sobre o valor da Nota Fiscal de Serviços emitida pela Construtora).</t>
  </si>
  <si>
    <t>Despesas Indiretas Incidentes Sobre os Custos Diretos:</t>
  </si>
  <si>
    <t>Mobilização e Desmobilização (não computado)</t>
  </si>
  <si>
    <t>Administração Central</t>
  </si>
  <si>
    <t>Administração Local (incluindo alimentação, vale transporte, vigilância, transporte de materiais, equipamentos, ferramentas, inst. Provisórias, EPI'S)</t>
  </si>
  <si>
    <t>Custo do Capital de Giro (Prof. Paulo Roberto Vilela Dias)</t>
  </si>
  <si>
    <t>Eventuais/Outras Taxas/Emolumentos</t>
  </si>
  <si>
    <t>∑IDi</t>
  </si>
  <si>
    <t>Despesas Indiretas Incidentes Sobre o Preço de Venda (sobre o valor da Nota Fiscal emitida pela Construtora):</t>
  </si>
  <si>
    <t>CSSL</t>
  </si>
  <si>
    <t>IPMF</t>
  </si>
  <si>
    <r>
      <t>IRPJ (</t>
    </r>
    <r>
      <rPr>
        <sz val="12"/>
        <color indexed="8"/>
        <rFont val="Times New Roman"/>
        <family val="1"/>
      </rPr>
      <t>não computado, por não se tratar de despesa a ser transferida, conforme determinação do TCU</t>
    </r>
    <r>
      <rPr>
        <sz val="14"/>
        <color indexed="8"/>
        <rFont val="Times New Roman"/>
        <family val="1"/>
      </rPr>
      <t>)</t>
    </r>
  </si>
  <si>
    <t>Lucro Líquido pretendido pela Construtora (arbitrado)</t>
  </si>
  <si>
    <t>∑IVi</t>
  </si>
  <si>
    <t>Cálculo da taxa de BDI ou LDI a ser adotada:</t>
  </si>
  <si>
    <t>BDI =</t>
  </si>
  <si>
    <t>DATA</t>
  </si>
  <si>
    <r>
      <rPr>
        <u/>
        <sz val="14"/>
        <color indexed="8"/>
        <rFont val="Calibri"/>
        <family val="2"/>
      </rPr>
      <t>OBS</t>
    </r>
    <r>
      <rPr>
        <sz val="11"/>
        <color indexed="8"/>
        <rFont val="Calibri"/>
        <family val="2"/>
      </rPr>
      <t>: DE ACORDO COM - [ACÓRDÃO] - TRIBUNAL DE CONTAS DA UNIÃO, ITEM 9.3.10. NA ELABORAÇÃO DO ORÇAMENTO OS TRIBUTOS IRPJ e CSLL, NÃO INTEGRAM O CÁLCULO DA TAXA DE BDI, NEM TAMPOUCO A PLANILHA DE CUSTO DIRETO,POR SE CONSTITUIREM EM TRIBUTOS DE NATUREZA DIRETA E PERSONALÍSTICA, QUE ONEREM PESSOALMENTE O CONTRATO, NÃO DEVENDO SER REPASSADO À CONTRATANTE</t>
    </r>
  </si>
  <si>
    <t>TOTAL COM BDI=24,38%</t>
  </si>
  <si>
    <t>M3</t>
  </si>
  <si>
    <t>PISO CERAMICO 45X45 GRES</t>
  </si>
  <si>
    <t>QUANT</t>
  </si>
  <si>
    <t>CÓDIGO</t>
  </si>
  <si>
    <t>PERFIL DE AÇO 1/8" X 1"</t>
  </si>
  <si>
    <t>M2</t>
  </si>
  <si>
    <t>TOTAL</t>
  </si>
  <si>
    <t>UNIDADE</t>
  </si>
  <si>
    <t>SUB TOTAL</t>
  </si>
  <si>
    <t>SER.CG</t>
  </si>
  <si>
    <t xml:space="preserve">M.O. </t>
  </si>
  <si>
    <t xml:space="preserve">H </t>
  </si>
  <si>
    <t>TABUA MADEIRA LEI 1A QUALIDADE 2,5 X 30,0CM (1 X 12") APARELHADA</t>
  </si>
  <si>
    <t xml:space="preserve">MAT. </t>
  </si>
  <si>
    <t xml:space="preserve">M </t>
  </si>
  <si>
    <t>TABEIRA DE MADEIRA LEI, 1A QUALIDADE, 2,5X30,0CM</t>
  </si>
  <si>
    <t>AJUDANTE  DE  CARPINTEIRO  COM ENCARGOS COMPLEMETARES</t>
  </si>
  <si>
    <t>CARPINTEIRO  COM ENCARGOS COMPLEMETARES</t>
  </si>
  <si>
    <t>PRANCHÕES 30CM</t>
  </si>
  <si>
    <t>PRANCHÕES  30CM  PREÇO UNITÁRIO</t>
  </si>
  <si>
    <t>COMPR</t>
  </si>
  <si>
    <t>QUANTITATIVOS PRANCHÕES DE 30CM</t>
  </si>
  <si>
    <t>VAOS</t>
  </si>
  <si>
    <t>PRANCHÕES DE MADEIRA DE LEI  30X2,5CM APARELHADA</t>
  </si>
  <si>
    <t>ALTURA</t>
  </si>
  <si>
    <t>X1</t>
  </si>
  <si>
    <t>X2</t>
  </si>
  <si>
    <t>QUANTIDADES VIGOTAS</t>
  </si>
  <si>
    <t>BAIAS  (UNIAO DUAS PRANHCAS)</t>
  </si>
  <si>
    <t>BAIAS  (UNIAO TRES  PRANHCAS)</t>
  </si>
  <si>
    <t>SALA COLETORES  (UNIAO DUAS PRANCHAS)</t>
  </si>
  <si>
    <t>SALA COLETORES  (UNIAO TRES  PRANCHAS)</t>
  </si>
  <si>
    <t>QUANTIDADES CAIBROS</t>
  </si>
  <si>
    <t>VIGOTAS   6X16cm</t>
  </si>
  <si>
    <t>VIGOTAS   6X16cm PREÇO UNITÁRIO</t>
  </si>
  <si>
    <t>CAIBRO 6X18 CM</t>
  </si>
  <si>
    <t>CAIBRO 6X18 CM PREÇO UNITÁRIO</t>
  </si>
  <si>
    <t xml:space="preserve">VIGOTA 6X16cm </t>
  </si>
  <si>
    <t>CAIBRO 6X8</t>
  </si>
  <si>
    <t>COMP</t>
  </si>
  <si>
    <t>ÁREA</t>
  </si>
  <si>
    <t>M3XKM</t>
  </si>
  <si>
    <t>KM</t>
  </si>
  <si>
    <t xml:space="preserve"> COMPACTACAO MECANICA A 95% DO PROCTOR NORMAL - PAVIMENTACAO URBANA</t>
  </si>
  <si>
    <t>AZULEJO</t>
  </si>
  <si>
    <t>1.7</t>
  </si>
  <si>
    <t>2.1</t>
  </si>
  <si>
    <t>2.2</t>
  </si>
  <si>
    <t>DISCRIMINAÇÃO DOS SERVIÇOS</t>
  </si>
  <si>
    <t>TOTAL (R$)</t>
  </si>
  <si>
    <t>TOTAL DO ITEM</t>
  </si>
  <si>
    <t>05.00.000</t>
  </si>
  <si>
    <t>07.00.000</t>
  </si>
  <si>
    <t>SUBTOTAL</t>
  </si>
  <si>
    <t>TOTAL ACUMULADO</t>
  </si>
  <si>
    <t>MOVIMENTO DE TERRA E EXECUÇÃO PLATAFORMA DE RECEBIMENTO DOS SÓLIDOS</t>
  </si>
  <si>
    <t>TOTEM  METÁLICO</t>
  </si>
  <si>
    <t>BDI (24,38%)</t>
  </si>
  <si>
    <t>PARAFUSOS D= 12,50 mm, L min = 180 mm</t>
  </si>
  <si>
    <t>PLACA SINALIZAÇÃO EXTINTOR</t>
  </si>
  <si>
    <t>CPU/SLU/DF</t>
  </si>
  <si>
    <t>MESTRE DE OBRAS</t>
  </si>
  <si>
    <t>MÊS</t>
  </si>
  <si>
    <t>SERVIÇOS AUXILIARES E ADMINISTRATIVOS PESSOAL DA OBRA</t>
  </si>
  <si>
    <t>RAMPA</t>
  </si>
  <si>
    <t>VOLUME</t>
  </si>
  <si>
    <t xml:space="preserve">LASTRO DE BRITA 2, ESPESSURA 7CM, INCLUSO COMPACTACAO MANUAL </t>
  </si>
  <si>
    <t>MÃO DE OBRA HORISTA</t>
  </si>
  <si>
    <t>HORAS</t>
  </si>
  <si>
    <t>SINAPI</t>
  </si>
  <si>
    <t>S/ LEIS SOCIAIS</t>
  </si>
  <si>
    <t>POR MÊS</t>
  </si>
  <si>
    <t>MESTRE DE OBRAS COM ENCARGOS COMPLEMENTARES</t>
  </si>
  <si>
    <t>VIGIA NOTURNO COM ENCARGOS COMPLEMENTARES</t>
  </si>
  <si>
    <t>PEV</t>
  </si>
  <si>
    <t>AREA</t>
  </si>
  <si>
    <t>HORA</t>
  </si>
  <si>
    <t>1.9</t>
  </si>
  <si>
    <t>MÊS 01</t>
  </si>
  <si>
    <t>MÊS 02</t>
  </si>
  <si>
    <t>Porcentagem de faturamento</t>
  </si>
  <si>
    <t xml:space="preserve">Valor do faturamento previsto </t>
  </si>
  <si>
    <t>Total  acumulado</t>
  </si>
  <si>
    <t>Valor Total desembolso (fatura)</t>
  </si>
  <si>
    <t>TERRENO</t>
  </si>
  <si>
    <t>PARTE + ALTA</t>
  </si>
  <si>
    <t>PARTE + BAIXA</t>
  </si>
  <si>
    <t>PLATÔ</t>
  </si>
  <si>
    <t>ALAMBRADO EM MOURÕES DE CONCRETO</t>
  </si>
  <si>
    <t xml:space="preserve">KG </t>
  </si>
  <si>
    <t xml:space="preserve">UN </t>
  </si>
  <si>
    <t>CLASS</t>
  </si>
  <si>
    <t>COEF</t>
  </si>
  <si>
    <t>PREÇO(R$)</t>
  </si>
  <si>
    <t>PREÇO TOTAL (R$)</t>
  </si>
  <si>
    <t>SALA DE COLETORES</t>
  </si>
  <si>
    <t>BAIA COLETA SELETIVA</t>
  </si>
  <si>
    <t>MADEIRA DE MADEIRA LEI, 1A QUALIDADE, 2,5X30,0CM</t>
  </si>
  <si>
    <t/>
  </si>
  <si>
    <t>PORTÃO METÁLICO EM TUBOS DE AÇO GALVANIZADO E TELA LOSANGULAR</t>
  </si>
  <si>
    <t>SERRALHEIRO</t>
  </si>
  <si>
    <t>L</t>
  </si>
  <si>
    <t>PINTURA TINTA A OLEO</t>
  </si>
  <si>
    <t xml:space="preserve">PRANCHOES 30 </t>
  </si>
  <si>
    <t>LADOS</t>
  </si>
  <si>
    <t>CAIBRO 6X08</t>
  </si>
  <si>
    <t>PINTURA ESMALTE ACETINADO EM MADEIRA, DUAS DEMAOS</t>
  </si>
  <si>
    <t>ESCAVAÇÃO</t>
  </si>
  <si>
    <t>FORMA</t>
  </si>
  <si>
    <t>BRITA</t>
  </si>
  <si>
    <t>CONCRETO</t>
  </si>
  <si>
    <t>REATERRO</t>
  </si>
  <si>
    <t>LARG</t>
  </si>
  <si>
    <t>BLOCO</t>
  </si>
  <si>
    <t>ENTRADA DE ENERGIA ELÉTRICA AÉREA MONOFÁSICA 50A COM POSTE DE CONCRETO INCLUSIVE CABEAMENTO CAIXA DE PROETEÇÃO PARA MEDIDOR E ATERRAMENTO</t>
  </si>
  <si>
    <t>DUTO ESPIRAL FLEXIVEL SINGELO PEAD D=50MM(2") REVESTIDO COM PVC COM FIO GUIA DE ACO GALVANIZADO, LANCADO DIRETO NO SOLO, INCL CONEXOES</t>
  </si>
  <si>
    <t>TUBO PEAD</t>
  </si>
  <si>
    <t>TOMADA PARA TELEFONE DE 4 POLOS PADRAO TELEBRAS - FORNECIMENTO E INSTALAÇÃO</t>
  </si>
  <si>
    <t>CPU 02/SLU/DF</t>
  </si>
  <si>
    <t>MURO DE ARRIMO E COBERTURA DE TALUDE COM BRIQUETES DE CONCRETO</t>
  </si>
  <si>
    <t>7.2</t>
  </si>
  <si>
    <t>ALVENARIA DE VEDAÇÃO DE BLOCOS VAZADOS DE CONCRETO DE 9X19X39CM</t>
  </si>
  <si>
    <t>CONCRETO FCK=15MPA, PREPARO COM BETONEIRA, SEM LANCAMENTO (BLOCOS)</t>
  </si>
  <si>
    <t>CONCRETO FCK=15MPA, PREPARO COM BETONEIRA, SEM LANCAMENTO (CINTA)</t>
  </si>
  <si>
    <t>CPU 04/SLU/DF</t>
  </si>
  <si>
    <t>CPU 05/SLU/DF</t>
  </si>
  <si>
    <t xml:space="preserve">M3 </t>
  </si>
  <si>
    <t xml:space="preserve">SER.CG </t>
  </si>
  <si>
    <t>1.2</t>
  </si>
  <si>
    <t>SUBTOTAL - 03</t>
  </si>
  <si>
    <t>SUBTOTAL - 04</t>
  </si>
  <si>
    <t>3.1</t>
  </si>
  <si>
    <t>4.1</t>
  </si>
  <si>
    <t>4.2</t>
  </si>
  <si>
    <t>4.3</t>
  </si>
  <si>
    <t>4.4</t>
  </si>
  <si>
    <t>4.5</t>
  </si>
  <si>
    <t>4.6</t>
  </si>
  <si>
    <t>5.1</t>
  </si>
  <si>
    <t>5.2</t>
  </si>
  <si>
    <t>7.1.2</t>
  </si>
  <si>
    <t>7.1.3</t>
  </si>
  <si>
    <t>7.2.1</t>
  </si>
  <si>
    <t>7.2.2</t>
  </si>
  <si>
    <t>7.2.3</t>
  </si>
  <si>
    <t>7.2.4</t>
  </si>
  <si>
    <t>7.2.6</t>
  </si>
  <si>
    <t>7.2.7</t>
  </si>
  <si>
    <t>7.2.9</t>
  </si>
  <si>
    <t>7.3.1</t>
  </si>
  <si>
    <t>7.4</t>
  </si>
  <si>
    <t>7.4.1</t>
  </si>
  <si>
    <t>7.5</t>
  </si>
  <si>
    <t>7.5.1</t>
  </si>
  <si>
    <t>7.6.1</t>
  </si>
  <si>
    <t>7.6.2</t>
  </si>
  <si>
    <t>7.6.3</t>
  </si>
  <si>
    <t>7.7</t>
  </si>
  <si>
    <t>7.7.1</t>
  </si>
  <si>
    <t>7.7.2</t>
  </si>
  <si>
    <t>7.7.3</t>
  </si>
  <si>
    <t>7.7.4</t>
  </si>
  <si>
    <t>7.4.2</t>
  </si>
  <si>
    <t>7.8</t>
  </si>
  <si>
    <t>7.8.1</t>
  </si>
  <si>
    <t>7.8.2</t>
  </si>
  <si>
    <t>7.8.3</t>
  </si>
  <si>
    <t>7.8.4</t>
  </si>
  <si>
    <t>7.8.5</t>
  </si>
  <si>
    <t>7.8.6</t>
  </si>
  <si>
    <t>7.9</t>
  </si>
  <si>
    <t>7.10</t>
  </si>
  <si>
    <t>7.10.1</t>
  </si>
  <si>
    <t>7.10.2</t>
  </si>
  <si>
    <t>10.1</t>
  </si>
  <si>
    <t>10.2</t>
  </si>
  <si>
    <t>10.3</t>
  </si>
  <si>
    <t>1.10</t>
  </si>
  <si>
    <t>LIMPEZA FINAL DA OBRA</t>
  </si>
  <si>
    <t>ART DE OBRA E SERVIÇO/ CREA - DF</t>
  </si>
  <si>
    <t>PECA DE MADEIRA LEI APARELHADA 3 X 3" (7,5 X 7,5CM)</t>
  </si>
  <si>
    <t>IMPERMEABILIZACAO DE ESTRUTURAS ENTERRADAS, COM TINTA ASFALTICA, DUAS DEMAOS.</t>
  </si>
  <si>
    <t>REATERRO MANUAL DE VALAS COM COMPACTAÇÃO MECANIZADA. AF_04/2016</t>
  </si>
  <si>
    <t>CHAPISCO APLICADO EM ALVENARIA (COM PRESENÇA DE VÃOS) E ESTRUTURAS DE M2 CONCRETO DE FACHADA, COM COLHER DE PEDREIRO. ARGAMASSA TRAÇO 1:3 COM PREPARO EM BETONEIRA 400L. AF_06/2014</t>
  </si>
  <si>
    <t>CABO DE COBRE FLEXÍVEL ISOLADO, 4 MM², ANTI-CHAMA 450/750 V, PARA CIRCUITOS TERMINAIS - FORNECIMENTO E INSTALAÇÃO.</t>
  </si>
  <si>
    <t>CABO DE COBRE FLEXÍVEL ISOLADO, 2,5 MM², ANTI-CHAMA 450/750 V, PARA CIRCUITOS TERMINAIS - FORNECIMENTO E INSTALAÇÃO.</t>
  </si>
  <si>
    <t>TOMADA MÉDIA DE EMBUTIR (1 MÓDULO), 2P+T 10 A, SEM SUPORTE E SEM PLACA - FORNECIMENTO E INSTALAÇÃO.</t>
  </si>
  <si>
    <t>LUMINARIA FECHADA PARA ILUMINACAO PUBLICA COM REATOR DE PARTIDA RAPIDA COM LAMPADA A VAPOR DE MERCURIO 250W - FORNECIMENTO E INSTALACAO.</t>
  </si>
  <si>
    <t>UNIDADE DE SERVIÇO:</t>
  </si>
  <si>
    <t>MERCADO</t>
  </si>
  <si>
    <t>FONTE</t>
  </si>
  <si>
    <r>
      <t>COEF</t>
    </r>
    <r>
      <rPr>
        <vertAlign val="superscript"/>
        <sz val="8"/>
        <rFont val="Arial"/>
        <family val="2"/>
      </rPr>
      <t>ICIENTE</t>
    </r>
  </si>
  <si>
    <t>CUSTOS UNITÁRIOS</t>
  </si>
  <si>
    <t>CUSTOS</t>
  </si>
  <si>
    <t>CUSTO TOTAL</t>
  </si>
  <si>
    <t>M. DE OBRA + ENCARG SOCIAIS</t>
  </si>
  <si>
    <t>MATERIAL/         EQUIPAMENTO</t>
  </si>
  <si>
    <t xml:space="preserve">PEDREIRO </t>
  </si>
  <si>
    <t>H</t>
  </si>
  <si>
    <t>AJUDANTE DE SERRALHEIRO</t>
  </si>
  <si>
    <t>GRUPO DE SOLDAGEM C/ GERADOR A DIESEL 33 HP P/ SOLDA ELETRICA SOBRE RODAS</t>
  </si>
  <si>
    <t>MERC</t>
  </si>
  <si>
    <t>CANTONEIRAFERRO GALVANIZADO DE ABAS IQUAIS  1" X 1/8"  1,20 KG/M</t>
  </si>
  <si>
    <t>PINTURA ESMALTE BRILHANTE 2 DEMÃO SOBRE SUPERFICIE MATÁLICA, INCLUSIVE PROTEÇÃO COM ZARCÃO</t>
  </si>
  <si>
    <t>1.5</t>
  </si>
  <si>
    <t>1.6</t>
  </si>
  <si>
    <t>COMPONENTES</t>
  </si>
  <si>
    <t>03.00.000</t>
  </si>
  <si>
    <t>04.00.000</t>
  </si>
  <si>
    <t>06.00.000</t>
  </si>
  <si>
    <t>08.00.000</t>
  </si>
  <si>
    <t>09.00.000</t>
  </si>
  <si>
    <t>10.00.000</t>
  </si>
  <si>
    <t>COMPOSIÇÃO DE PREÇO UNITÁRIO</t>
  </si>
  <si>
    <t>MURETA DE CONTENÇÃO</t>
  </si>
  <si>
    <t>DESMATAMENTO E LIMPEZA MECANIZADA DE TERRENO COM ARVORES ATE Ø 15CM, UTILIZANDO TRATOR DE ESTEIRA</t>
  </si>
  <si>
    <t>CARGA E DESCARGA MECANIZADA DE ENTULHO EM CAMINHÃO BASCULANTE 6M3</t>
  </si>
  <si>
    <t>ESCAVACAO, CARGA E TRANSPORTE DE MATERIAL DE 1A CATEGORIA COM TRATOR SOBRE ESTEIRAS 347 HP E CAÇAMBA 6M3, DMT 50 A 200M</t>
  </si>
  <si>
    <t>TRANSPORTE COM CAMINHÃO BASCULANTE DE 10 M3, EM VIA URBANA PAVIMENTADA, DMT ACIMA DE 30KM</t>
  </si>
  <si>
    <t>TXKM</t>
  </si>
  <si>
    <t>5.3</t>
  </si>
  <si>
    <t>GUIA (MEIO-FIO) CONCRETO, MOLDADA IN LOCO EM TRECHO RETO COM EXTRUSORA, 11,5 CM BASE X 22 CM ALTURA.</t>
  </si>
  <si>
    <t>ESCAVAÇÃO MANUAL DE VALAS. AF_03/2016</t>
  </si>
  <si>
    <t>ESTACA A TRADO (BROCA) DIAMETRO 30CM EM CONCRETO ARMADO MOLDADA IN-LOC 20 MPA, SEM ARMAÇÃO.</t>
  </si>
  <si>
    <t>CONCRETO FCK = 15MPA, TRAÇO 1:3,4:3,5 (CIMENTO/ AREIA MÉDIA/ BRITA 1) - PREPARO MECÂNICO COM BETONEIRA 600 L. AF_07/2016</t>
  </si>
  <si>
    <t>PISO DO PÁTIO EXTERNO</t>
  </si>
  <si>
    <t>PISO INTERTRAVADO (RAMPA E PLATÔ)</t>
  </si>
  <si>
    <t>10.1.1</t>
  </si>
  <si>
    <t>REGULARIZACAO E COMPACTACAO DE SUBLEITO ATE 20 CM DE ESPESSURA</t>
  </si>
  <si>
    <t>10.1.2</t>
  </si>
  <si>
    <t>10.1.3</t>
  </si>
  <si>
    <t>ENSAIO DE RESISTÊNCIA A COMPRESSÃO</t>
  </si>
  <si>
    <t>10.1.4</t>
  </si>
  <si>
    <t>EXECUÇÃO DE PAVIMENTO EM PISO INTERTRAVADO, COM BLOCO SEXTAVADO DE 25X25 CM, ESPESSURA 8CM.</t>
  </si>
  <si>
    <t>10.1.5</t>
  </si>
  <si>
    <t>10.1.6</t>
  </si>
  <si>
    <t>PISO DE CONCRETO COM CONCRETO MOLDADO IN LOCO (ALOCAÇÃO  CAÇAMBASBROOKS)</t>
  </si>
  <si>
    <t>10.2.1</t>
  </si>
  <si>
    <t>PISO DE CONCRETO COM CONCRETO MOLDADO IN LOCO, FEITO EM OBRA, ACABAMENTO CONVENCIONAL, ESPESSURA 10 CM, ARMADO</t>
  </si>
  <si>
    <t>10.2.2</t>
  </si>
  <si>
    <t>SUB-BASE  LASTRO DE CONCRETO, E=3CM, PREPARO MECÂNICO, INCLUSOS LANÇAMENTO E ADENSAMENTO</t>
  </si>
  <si>
    <t>PISO CIMENTADO (BAIAS)</t>
  </si>
  <si>
    <t>10.3.1</t>
  </si>
  <si>
    <t>10.4</t>
  </si>
  <si>
    <t xml:space="preserve">PISO DE BRITA 2 </t>
  </si>
  <si>
    <t>10.4.1</t>
  </si>
  <si>
    <t>UN</t>
  </si>
  <si>
    <t>CPU 07/SLU/DF</t>
  </si>
  <si>
    <t>CPU 08/SLU/DF</t>
  </si>
  <si>
    <t>TELHAMENTO COM TELHA ONDULADA DE FIBROCIMENTO E = 6 MM, COM RECOBRIMENTO LATERAL DE 1/4 DE ONDA  PARA TELHADO COM INCLINAÇÃO MAIOR QUE 10º, COM ATÉ DUAS ÁGUAS, INCLUINDO IÇAMENTO. AF_06/2016</t>
  </si>
  <si>
    <t>ESTACA A TRADO (BROCA) DIAMETRO = 30 CM, EM CONCRETO MOLDADO IN LOCO, 20 MPA, SEM ARMACAO.</t>
  </si>
  <si>
    <t>PEDREIRO COM ENCARGOS COMPLEMENTARES</t>
  </si>
  <si>
    <t>SERVENTE COM ENCARGOS COMPLEMENTARES</t>
  </si>
  <si>
    <t>CONCRETO FCK = 20MPA, TRAÇO 1:2,7:3, (CIMENTO/ AREIA MÉDIA/ BRITA 1)  - PREPARO MECÂNICO COM BETONEIRA 600 L. AF_07/2016</t>
  </si>
  <si>
    <t>CPU 09/SLU/DF</t>
  </si>
  <si>
    <t>CONTRAPISO EM ARGAMASSA TRAÇO 1:4 (CIMENTO E AREIA), PREPARO MANUAL, APLICADO EM ÁREAS SECAS SOBRE LAJE, NÃO ADERIDO, ESPESSURA 5CM. AF_06/2014</t>
  </si>
  <si>
    <t xml:space="preserve">BARRA LISA TRACO 1:3 (CIMENTO E AREIA MEDIA NAO PENEIRADA), INCLUSO ADITIVO IMPERMEABILIZANTE, ESPESSURA 0,5CM, PREPARO MANUAL DA ARGAMASSA                   </t>
  </si>
  <si>
    <t>REVESTIMENTO CERÂMICO PARA PISO COM PLACAS TIPO ESMALTADA EXTRA DE DIMENSÕES 35X35 CM APLICADA EM AMBIENTES DE ÁREA MAIOR QUE 10 M2. AF_06/2014</t>
  </si>
  <si>
    <t>ANEXO C</t>
  </si>
  <si>
    <t>1º</t>
  </si>
  <si>
    <t>15 DIAS</t>
  </si>
  <si>
    <t>ALAMBRADO</t>
  </si>
  <si>
    <t>COBERT. DE TALUDE COM BRIQUETES DE CONCRETO</t>
  </si>
  <si>
    <t>11.00.000</t>
  </si>
  <si>
    <t>COBERTURA DO PISO PÁTIO EXTERNO</t>
  </si>
  <si>
    <t>01.00.000</t>
  </si>
  <si>
    <t>02.00.000</t>
  </si>
  <si>
    <t>SINALIZAÇÃO SLU</t>
  </si>
  <si>
    <t>CONSTRUÇÃO DE UM PONTO DE ENTREGA VOLUNTÁRIA - PEV - PARA ORGANIZAÇÃO E ARMAZENAMENTO PROVISÓRIO DE MATERIAIS RECEBIDOS</t>
  </si>
  <si>
    <t>7.9.1</t>
  </si>
  <si>
    <t>ESCAVAÇÃO MECANIZADA DE VALA COM PROFUNDIDADE ATÉ 1,5M (MÉDIA ENTRE MONTANTE E JUSANTE/UMA COMPOSIÇÃO POR TRECHO) COM RETROESCAVADEIRA (CAPACIDADE DA CAÇAMBA DA RETRO: 0,26M³/ POTENCIA: 88HP), LARGURA MENOR QUE 0,8M, EM SOLO DE 1A CATEGORIA, LOCAIS COM BAIXO NÍVEL DE INTERFERÊNCIA.</t>
  </si>
  <si>
    <t>7.9.2</t>
  </si>
  <si>
    <t>REATERRO MECANIZADO DE VALA COM ESCAVADEIRA HIDRÁULICA (CAPACIDADE DA CAÇAMBA: 0,8M³ / POTENCIA: 111HP), LARGURA DE 1,5 A 2,5M, PROFUNDIDADE ATÉ 1,5M A 2,5M, PROFUNDIDADE DE 1,5 A 3,0M, COM SOLO(SEM SUBSTITUIÇÃO) DE 1A CATEGORIA EM LOCAIS COM BAIXO NÍVEL DE INTERFERENCIA.</t>
  </si>
  <si>
    <t>7.9.3</t>
  </si>
  <si>
    <t>CAIXA PARA HIDROMETRO CONCRETO PRE-MOLDADO - FORNECIMENTO E INSTALACAO</t>
  </si>
  <si>
    <t>7.9.4</t>
  </si>
  <si>
    <t>HIDROMETRO 5,00M3/H, D=3/4" - FORNECIMENTO E INSTALACAO</t>
  </si>
  <si>
    <t>7.9.5</t>
  </si>
  <si>
    <t>TUBO, PVC, SOLDÁVEL, DN 25MM, INSTALADO EM RAMAL OU SUB-RAMAL DE ÁGUA - FORNECIMENTO E INSTALAÇÃO. AF_12/2014</t>
  </si>
  <si>
    <t>7.9.6</t>
  </si>
  <si>
    <t>KIT CAVALETE PVC COM REGISTRO 3/4" - FORNECIMENTO E INSTALACAO</t>
  </si>
  <si>
    <t>HIDROMETRO ATÉ CAIXA D'ÁGUA</t>
  </si>
  <si>
    <t>7.9.7</t>
  </si>
  <si>
    <t>CAIXA D´AGUA EM POLIETILENO, 500 LITROS, COM ACESSÓRIOS</t>
  </si>
  <si>
    <t>7.9.8</t>
  </si>
  <si>
    <t>TORNEIRA DE BÓIA REAL, ROSCÁVEL, 3/4", FORNECIDA E INSTALADA EM RESERVAÇÃO DE ÁGUA. AF_06/2016</t>
  </si>
  <si>
    <t>INSTALAÇÃO EDIFICAÇÃO</t>
  </si>
  <si>
    <t>7.9.9</t>
  </si>
  <si>
    <t>7.9.10</t>
  </si>
  <si>
    <t>TUBO, PVC, SOLDÁVEL, DN 25MM, INSTALADO EM RAMAL OU SUB-RAMAL DE ÁGUA- FORNECIMENTO E INSTALAÇÃO. AF_12/2014</t>
  </si>
  <si>
    <t>REGISTRO DE GAVETA BRUTO, LATÃO, ROSCÁVEL, 3/4, FORNECIDO E INSTALADO</t>
  </si>
  <si>
    <t>REGISTRO DE PRESSÃO BRUTO, ROSCÁVEL, 3/4, FORNECIDO E INSTALADO</t>
  </si>
  <si>
    <t>VASO SANITÁRIO SIFONADO CONVENCIONAL COM LOUÇA BRANCA, INCLUSO CONJUNTO DE LIGAÇÃO PARA BACIA SANITÁRIA AJUSTÁVEL - FORNECIMENTO E INSTALAÇÃO.</t>
  </si>
  <si>
    <t>ASSENTO SANITÁRIO DE PLASCTICO, TIPO CONVENCIONAL</t>
  </si>
  <si>
    <t xml:space="preserve"> LAVATÓRIO LOUÇA BRANCA COM COLUNA, *44 X 35,5* CM, PADRÃO POPULAR - FO UN CR 181,44
RNECIMENTO E INSTALAÇÃO. AF_12/2013</t>
  </si>
  <si>
    <t>TANQUE LOUCA BRANCA C/COLUNAS E MED 60X56CM (EM TORNO)INCL ACESSORIOS DE FIXAÇÃO FERRAGEM EM METAL CROMADO TORNEIRA PRESSÃO 1158 1/2" VALVULA ESCOAMENTO 1680DE 1.1/2" X 1.1/2" FORNECIMENTO E INSTALAÇÃO</t>
  </si>
  <si>
    <t>TORNEIRA CROMADA 1/2" OU 3/4" PARA TANQUE, PADRÃO MÉDIO - FORNECIMENTO E INSTALAÇÃO.</t>
  </si>
  <si>
    <t>CHUVEIRO ELETRICO COMUM CORPO PLASTICO TIPO DUCHA, FORNECIMENTO E INSTALACAO</t>
  </si>
  <si>
    <t>PORTA TOALHA BANHO EM METAL CROMADO, TIPO BARRA, INCLUSO FIXAÇÃO</t>
  </si>
  <si>
    <t>PORTA TOALHA ROSTO EM METAL CROMADO, TIPO ARGOLA, INCLUSO FIXAÇÃO.</t>
  </si>
  <si>
    <t xml:space="preserve">SABONETEIRA DE PAREDE EM METAL CROMADO, INCLUSO FIXAÇÃO. </t>
  </si>
  <si>
    <t>PAPELEIRA DE PAREDE EM METAL CROMADO SEM TAMPA, INCLUSO FIXAÇÃO.</t>
  </si>
  <si>
    <t>ESPELHO C/MOLDURA (0,50 x 0,45m)</t>
  </si>
  <si>
    <t>TUBO PVC ESGOTO JS PREDIAL DN 100MM, INCLUSIVE CONEXOES - FORNECIMENTO E INSTALAÇÃO</t>
  </si>
  <si>
    <t>JOELHO 45 GRAUS, PVC, SERIE NORMAL, ESGOTO PREDIAL, DN 100 MM, JUNTA ELÁSTICA, FORNECIDO E INSTALADO EM SUBCOLETOR AÉREO DE ESGOTO SANITÁRIO. AF_12/2014</t>
  </si>
  <si>
    <t>TUBO PVC ESGOTO JS PREDIAL DN 40MM, INCLUSIVE CONEXOES - FORNECIMENTO E INSTALAÇÃO</t>
  </si>
  <si>
    <t>JOELHO 45 GRAUS, PVC, SERIE NORMAL, ESGOTO PREDIAL, DN 40 MM, JUNTA SOLDÁVEL, FORNECIDO E INSTALADO EM RAMAL DE DESCARGA OU RAMAL DE ESGOTO SANITÁRIO. AF_12/2014</t>
  </si>
  <si>
    <t>TUBO PVC ESGOTO JS PREDIAL DN 50MM, INCLUSIVE CONEXOES - FORNECIMENTO E INSTALAÇÃO</t>
  </si>
  <si>
    <t>JOELHO 45 GRAUS, PVC, SERIE NORMAL, ESGOTO PREDIAL, DN 50 MM, JUNTA ELÁSTICA, FORNECIDO E INSTALADO EM RAMAL DE DESCARGA OU RAMAL DE ESGOTO SANITÁRIO. AF_12/2014</t>
  </si>
  <si>
    <t>M.O.</t>
  </si>
  <si>
    <t>MAT.</t>
  </si>
  <si>
    <t>PLACAS</t>
  </si>
  <si>
    <t>8.1.2</t>
  </si>
  <si>
    <t>PLACA DE INAUGURAÇÃO EM CHAPA DE AÇO INOXIDÁVEL, ESCOVADO INDUSTRIAL (0,42 × 0,59M).</t>
  </si>
  <si>
    <t>8.1.3</t>
  </si>
  <si>
    <t>8.1.4</t>
  </si>
  <si>
    <t>CPU 03/SLU/DF</t>
  </si>
  <si>
    <t>ARAME GALVANIZADO 18 BWG, 1,24MM (0,009 KG/M)</t>
  </si>
  <si>
    <t>ESCORA PRE-MOLDADA EM CONCRETO, *10 X 10* CM, H = 2,30M</t>
  </si>
  <si>
    <t>MOURAO CONCRETO CURVO, SECAO "T", H = 2,80 M + CURVA COM 0,45 M, COM FUROS PARA FIOS</t>
  </si>
  <si>
    <t>TINTA LATEX PVA PREMIUM, COR BRANCA</t>
  </si>
  <si>
    <t>TELA DE ARAME GALV QUADRANGULAR / LOSANGULAR, FIO 2,77 MM (12 BWG), MALHA 8 X 8CM, H = 2 M</t>
  </si>
  <si>
    <t>TUBO ACO GALVANIZADO COM COSTURA, CLASSE LEVE, DN 80 MM ( 3"), E = 3,35 MM, *7,32*KG/M (NBR 5580)</t>
  </si>
  <si>
    <t>TUBO ACO GALVANIZADO COM COSTURA, CLASSE LEVE, DN 40 MM ( 1 1/2"), E = 3,00 MM,*3,48* KG/M (NBR 5580)</t>
  </si>
  <si>
    <t>FUNDO ANTICORROSIVO PARA METAIS FERROSOS (ZARCAO)</t>
  </si>
  <si>
    <t>TINTA ESMALTE SINTETICO PREMIUM BRILHANTE</t>
  </si>
  <si>
    <t>SERRALHEIRO COM ENCARGOS COMPLEMENTARES</t>
  </si>
  <si>
    <t>PORTÃO METÁLICO EM TUBOS DE AÇO GALVANIZADO E TELA LOSANGULAR, ENTRADA PEDESTRES</t>
  </si>
  <si>
    <t>AUXILIAR DE SERRALHEIRO COM ENCARGOS</t>
  </si>
  <si>
    <t>CARPINTEIRO DE FORMAS COM ENCARGOS COMPLEMENTARES</t>
  </si>
  <si>
    <t>AREIA MEDIA - POSTO JAZIDA/FORNECEDOR (RETIRADO NA JAZIDA, SEM TRANSPORTE)</t>
  </si>
  <si>
    <t>AUXILIAR DE ENCANADOR OU BOMBEIRO HIDRÁULICO COM ENCARGOS COMPLEMENTARES</t>
  </si>
  <si>
    <t>PORTÃO METÁLICO EM TUBOS DE AÇO GALVANIZADO E TELA LOSANGULAR PARA ENTRADA DE PEDESTRES.</t>
  </si>
  <si>
    <t>CONCRETO FCK = 15MPA, PREPARO COM BETONEIRA  (SAPATA)</t>
  </si>
  <si>
    <t>GUIA MEIO FIO</t>
  </si>
  <si>
    <t>PLATÔ ARRIMO</t>
  </si>
  <si>
    <t>VIGA DE MADEIRA NAO APARELHADA 8 X 16 CM, MACARANDUBA, ANGELIM OU EQUIVALENTE DA REGIAO</t>
  </si>
  <si>
    <t>SARRAFO DE MADEIRA NAO APARELHADA *2,5 X 10 CM, MACARANDUBA, ANGELIM OU EQUIVALENTE DA REGIAO</t>
  </si>
  <si>
    <t>CPU 06/SLU/DF</t>
  </si>
  <si>
    <t>PARAFUSO DE ACO ZINCADO COM ROSCA SOBERBA, CABECA CHATA E FENDA SIMPLES, DIAMETRO 4,2 MM, COMPRIMENTO * 32 * MM</t>
  </si>
  <si>
    <t>SILICONE ACETICO USO GERAL INCOLOR 280 G</t>
  </si>
  <si>
    <t>JANELA ALUMINIO BASCULANTE 80 X 60 CM (AXL)</t>
  </si>
  <si>
    <t>1/2 ENGENHEIRO CIVIL DE OBRA PLENO COM ENCARGOS COMPLEMENTARES</t>
  </si>
  <si>
    <t>CABO DE COBRE FLEXÍVEL ISOLADO, 10 MM², ANTI-CHAMA 450/750 V, PARA CIRCUITOS TERMINAIS - FORNECIMENTO E INSTALAÇÃO. AF_12/2015</t>
  </si>
  <si>
    <t>CUSTO DE VISTORIA PARA LIGAÇÃO MONOFÁSICA</t>
  </si>
  <si>
    <t>QUADRO DE DISTRIBUIÇÃO DE ENERGIA P/6 DISJUNTORES TERMOMAGNÉTICOS MONOPOLARES SEM BARRAMENTO, DE EMBUTIR, EM CHAPA METÁLICA - FORNECIMENTO E INSTALAÇÃO.</t>
  </si>
  <si>
    <t>ELETRODUTO FLEXÍVEL CORRUGADO, PVC, DN 25MM (3/4'), PARA CIRCUITOS TERMINAIS, INSTALADO EM FORRO - FORNECIMENTO E INSTALAÇÃO.</t>
  </si>
  <si>
    <t>DISJUNTOR TERMOMAGNETICO MONOPOLAR PADRAO NEMA (AMERICANO) 35 A 50A 240V, FORNECIMENTO E INSTALACAO</t>
  </si>
  <si>
    <t>DISJUNTOR TERMOMAGNETICO MONOPOLAR PADRAO NEMA (AMERICANO) 10 A 30A 24. FORNECIMENTO E INST.</t>
  </si>
  <si>
    <t>INTERRUPTORES</t>
  </si>
  <si>
    <t>INTERRUPTOR SIMPLES (4 MÓDULOS), 10A/250V, INCLUINDO SUPORTE E PLACA -FORNECIMENTO E INSTALAÇÃO. AF_12/2015</t>
  </si>
  <si>
    <t xml:space="preserve">LUMINÁRIA </t>
  </si>
  <si>
    <t>POSTE DE AÇO CONICO CONTÍNUO CURVO SIMPLES, FLANGEADO, COM JANELA DE INSPEÇÃO H=9M - FORNECIMENTO E INSTALAÇÃO.</t>
  </si>
  <si>
    <t>INSTALAÇÃO TELEFÔNICA</t>
  </si>
  <si>
    <t>ELETRODUTO FLEXÍVEL CORRUGADO, PVC, DN 32 MM (1"), PARA CIRCUITOS TERMINAIS, INSTALADO EM PAREDE - FORNECIMENTO E INSTALAÇÃO. AF_12/2015</t>
  </si>
  <si>
    <t>ELETRODUTO FLEXÍVEL CORRUGADO, PVC, DN 32 MM (1"), PARA CIRCUITOS TERMINAIS, INSTALADO EM FORRO - FORNECIMENTO E INSTALAÇÃO. AF_12/2015</t>
  </si>
  <si>
    <t>CAIXA DE PASSAGEM PARA TELEFONE 10X10X5CM (SOBREPOR) FORNECIMENTO E INTALAÇÃO</t>
  </si>
  <si>
    <t>JOELHO 90 GRAUS, PVC, SOLDÁVEL, DN 25MM, INSTALADO EM RAMAL OU SUB-RAMAL DE ÁGUA - FORNECIMENTO E INSTALAÇÃO. AF_12/2014</t>
  </si>
  <si>
    <t>JOELHO 90 GRAUS, PVC, SOLDÁVEL, DN 32MM, INSTALADO EM RAMAL OU SUB-RAMAL DE ÁGUA - FORNECIMENTO E INSTALAÇÃO. AF_12/2014</t>
  </si>
  <si>
    <t xml:space="preserve"> TUBO, PVC, SOLDÁVEL, DN 32MM, INSTALADO EM RAMAL OU SUB-RAMAL DE ÁGUA- FORNECIMENTO E INSTALAÇÃO. AF_12/2014</t>
  </si>
  <si>
    <t>ELETRODUTO FLEXÍVEL CORRUGADO, PVC, DN 25 MM (3/4"), PARA CIRCUITOS TERMINAIS, INSTALADO EM PAREDE - FORNECIMENTO E INSTALAÇÃO. AF_12/2015</t>
  </si>
  <si>
    <t>PREÇO (R$)</t>
  </si>
  <si>
    <t>ASSENTO SANITARIO DE PLASTICO, TIPO CONVENCIONAL</t>
  </si>
  <si>
    <t>-</t>
  </si>
  <si>
    <t>PREÇO (R$),</t>
  </si>
  <si>
    <t>CONCRETO FCK = 20MPA, TRAÇO 1:2,7:3 (CIMENTO/ AREIA MÉDIA/ BRITA 1)  - PREPARO MECÂNICO COM BETONEIRA 400 L. AF_07/2016</t>
  </si>
  <si>
    <t>BETONEIRA CAPACIDADE NOMINAL 400 L, CAPACIDADE DE MISTURA 310 L, MOTOR A DIESEL POTÊNCIA 5,0 HP, SEM CARREGADOR - CHP DIURNO.</t>
  </si>
  <si>
    <t>CHP</t>
  </si>
  <si>
    <t>TELA DE ACO SOLDADA NERVURADA, CA-60, Q-196, (3,11 KG/M2), DIAMETRO DO FIO = 5,0 MM, LARGURA =  2,45 M, ESPACAMENTO DA MALHA = 10 X 10 CM</t>
  </si>
  <si>
    <t>LONA PLASTICA PRETA, E= 150 MICRA</t>
  </si>
  <si>
    <t>PÁTIO EXTERNO</t>
  </si>
  <si>
    <t>3.3</t>
  </si>
  <si>
    <t>5.4</t>
  </si>
  <si>
    <t>7.2.8</t>
  </si>
  <si>
    <t>JOELHO 90 GRAUS, PVC, SERIE NORMAL, ESGOTO PREDIAL, DN 100 MM, JUNTA ELÁSTICA, FORNECIDO E INSTALADO EM SUBCOLETOR AÉREO DE ESGOTO SANITÁRIO. AF_12/2014</t>
  </si>
  <si>
    <t>RASPAGEM MECANIZADA DO TERRENO ATÉ 10 CM DE PROFUNDIDADE, UTILIZANDO TRATOR SOBRE ESTREIRAS</t>
  </si>
  <si>
    <t>COMPR. (M)</t>
  </si>
  <si>
    <t>LARGURA (M)</t>
  </si>
  <si>
    <t>ÁREA (M²)</t>
  </si>
  <si>
    <t>LARG. (M)</t>
  </si>
  <si>
    <t>CARGA MECANIZADA E REMOÇÃO DE ENTULHO COM TRNSPORTE ATE 1KM</t>
  </si>
  <si>
    <t>A. X PROF.</t>
  </si>
  <si>
    <t>EMPOLAMENTO</t>
  </si>
  <si>
    <t>EMPOLA.</t>
  </si>
  <si>
    <t>VOLUME (M³)</t>
  </si>
  <si>
    <t>TOTAL (M²)</t>
  </si>
  <si>
    <t>COMPRIMENTO (M)</t>
  </si>
  <si>
    <t xml:space="preserve">ATERRO COMPACTADO COM CONTROLE TECNOLÓGICO, EXECUÇÃO EM CAMADAS DE 20 CM </t>
  </si>
  <si>
    <t>ESCAVAÇÃO CARGA E TRANSPORTE</t>
  </si>
  <si>
    <t>M³XKM</t>
  </si>
  <si>
    <t>CERCA COM MOURÕES DE CONCRETO, SEÇÃO "T" PONTA INCLINADA, 7,5X7,5CM, ESPAÇAMENTO DE 2,5M, CRAVADOS 0,70M, COM TELA LOSANGULAR ALTURA 2,00M.</t>
  </si>
  <si>
    <t>DIF. PORTÃO ENTRADA</t>
  </si>
  <si>
    <t>DIF. PORT.PEDESTRE</t>
  </si>
  <si>
    <t>TOTAL (M)</t>
  </si>
  <si>
    <t>COBERTURA DE TALUDE</t>
  </si>
  <si>
    <t>ARBUSTOS POR METRO</t>
  </si>
  <si>
    <t>PERÍMETRO (M)</t>
  </si>
  <si>
    <t xml:space="preserve">PLATÔ </t>
  </si>
  <si>
    <t>PISO CIMENTADO</t>
  </si>
  <si>
    <t xml:space="preserve">LOCAL </t>
  </si>
  <si>
    <t xml:space="preserve">LAJE </t>
  </si>
  <si>
    <t>EXTERNO</t>
  </si>
  <si>
    <t>INTERNO</t>
  </si>
  <si>
    <t>EDIFICAÇÃO FORRO</t>
  </si>
  <si>
    <t>EDIFICAÇÃO PAREDE</t>
  </si>
  <si>
    <t>ESPECIFICAÇÃO (MM)</t>
  </si>
  <si>
    <t xml:space="preserve">DUTO ESPIRAL FLEXIVEL SINGELO PEAD D=50MM(2") </t>
  </si>
  <si>
    <t>CABO DE COBRE FLEXÍVEL ISOLADO</t>
  </si>
  <si>
    <t>FUNÇÃO</t>
  </si>
  <si>
    <t>ESPECIFICAÇÃO</t>
  </si>
  <si>
    <t>LIGAÇÃO EXTERNA</t>
  </si>
  <si>
    <t>CABO DE COBRE FLEXÍVEL ISOLADO 10 MM²</t>
  </si>
  <si>
    <t>ILUMINAÇÃO</t>
  </si>
  <si>
    <t>LIGAÇÃO INTERNA</t>
  </si>
  <si>
    <t>TOMADA</t>
  </si>
  <si>
    <t>CHUVEIRO</t>
  </si>
  <si>
    <t>CABO DE COBRE FLEXÍVEL ISOLADO 2,5 MM²</t>
  </si>
  <si>
    <t>CABO DE COBRE FLEXÍVEL ISOLADO 4,0 MM²</t>
  </si>
  <si>
    <t>ESPECIFICAÇÃO (MM²)</t>
  </si>
  <si>
    <t>ILU.EXTERNA</t>
  </si>
  <si>
    <t>ALTURA (M)</t>
  </si>
  <si>
    <t>PISO PÁTIO EXTERNO</t>
  </si>
  <si>
    <t xml:space="preserve">PÁTIO EXTERNO </t>
  </si>
  <si>
    <t>PLATÔ + RAMPA</t>
  </si>
  <si>
    <t>BRITA 2</t>
  </si>
  <si>
    <t>BLOQUETE INTERTRAVADO</t>
  </si>
  <si>
    <t>CONCRETO 20 MPA</t>
  </si>
  <si>
    <t>CIMENTADO LISO</t>
  </si>
  <si>
    <t>PER. (M)</t>
  </si>
  <si>
    <t>ESPESSURA (CM)</t>
  </si>
  <si>
    <t>TRANSPORTE COM CAMINHÃO BASCULANTE</t>
  </si>
  <si>
    <t>TOTAL (TXKM)</t>
  </si>
  <si>
    <t>DISTANCIA (KM)</t>
  </si>
  <si>
    <t>PESO (T)</t>
  </si>
  <si>
    <t>VIGIA NOTURNO</t>
  </si>
  <si>
    <t>TUBO PVC - ÁGUA</t>
  </si>
  <si>
    <t>PÁTIO INTERNO</t>
  </si>
  <si>
    <t>TUBO, PVC, SOLDÁVEL, DN 25MM</t>
  </si>
  <si>
    <t>CAIXA ATE EDIFICAÇÃO</t>
  </si>
  <si>
    <t xml:space="preserve"> TUBO, PVC, SOLDÁVEL, DN 32MM.</t>
  </si>
  <si>
    <t xml:space="preserve">SINGELO PEAD D=50MM(2") </t>
  </si>
  <si>
    <t>JUNÇÃO SIMPLES, PVC, SERIE NORMAL, ESGOTO PREDIAL, DN 40 MM, JUNTA SOLDÁVEL, FORNECIDO E INSTALADO EM RAMAL DE DESCARGA OU RAMAL DE ESGOTO SANITÁRIO. AF_12/2014</t>
  </si>
  <si>
    <t>10.5</t>
  </si>
  <si>
    <t>PISO DE ENTRADA PEV</t>
  </si>
  <si>
    <t>10.5.1</t>
  </si>
  <si>
    <t>10.5.2</t>
  </si>
  <si>
    <t>10.5.3</t>
  </si>
  <si>
    <t>10.5.5</t>
  </si>
  <si>
    <t>1.4</t>
  </si>
  <si>
    <t>INTERRUPTOR SIMPLES (2 MÓDULOS), 10A/250V, INCLUINDO SUPORTE E PLACA -FORNECIMENTO E INSTALAÇÃO. AF_12/2015</t>
  </si>
  <si>
    <t xml:space="preserve">INSTALAÇÃO DE ÁGUA </t>
  </si>
  <si>
    <t>ESCAVAÇÃO MECANIZADA DE VALA COM PROF. MAIOR QUE 4,5 M ATÉ 6,0 M(MÉDIA ENTRE MONTANTE E JUSANTE/UMA COMPOSIÇÃO POR TRECHO), COM ESCAVADEIRA HIDRÁULICA (1,2 M3/155 HP), LARG. MENOR QUE 1,5 M, EM SOLO DE 1A CATEGORIA, EM LOCAIS COM ALTO NÍVEL DE INTERFERÊNCIA. AF_01/2015</t>
  </si>
  <si>
    <t>ESCAVAÇÃO MECANIZADA DE VALA COM PROF. MAIOR QUE 1,5 M ATÉ 3,0 M (MÉDIA ENTRE MONTANTE E JUSANTE/UMA COMPOSIÇÃO POR TRECHO), COM ESCAVADEIRA HIDRÁULICA (0,8 M3/111 HP), LARG. DE 1,5 M A 2,5 M, EM SOLO DE 1A CATEGORIA, LOCAIS COM BAIXO NÍVEL DE INTERFERÊNCIA. AF_01/2015</t>
  </si>
  <si>
    <t>INSTALAÇÃO DE ESGOTO (FOSSA SÉPTICA E SUMIDOURO)</t>
  </si>
  <si>
    <t>CONCERTINA SIMPLES EM ACO GALVANIZADO DE ALTA RESISTENCIA, COM ESPIRAL DE 300MM, D = 2,76 MM</t>
  </si>
  <si>
    <t>HASTE DE ACO GALVANIZADO PARA FIXACAO DE CONCERTINA 2 "/3 M</t>
  </si>
  <si>
    <t>AJUDANTE DE PEDREIRO COM ENCARGOS COMPLEMENTARES</t>
  </si>
  <si>
    <t>10.5.4</t>
  </si>
  <si>
    <t>ANEXO B</t>
  </si>
  <si>
    <t>CONCERTINA - MEDIDA DE SEGURANÇA</t>
  </si>
  <si>
    <t>MOVIMENTAÇÃO E TERRAPLENAGEM</t>
  </si>
  <si>
    <t>EXECUÇÃO DE PLATAFORMA DE RECEBIMENTO DOS RESÍDUOS</t>
  </si>
  <si>
    <t>CPU 13/SLU/DF</t>
  </si>
  <si>
    <t>9.1</t>
  </si>
  <si>
    <t>UD</t>
  </si>
  <si>
    <t>LOCACAO CONVENCIONAL DE OBRA, ATRAVÉS DE GABARITO DE TABUAS CORRIDAS PONTALENTADAS A CADA 2,00 M, - 2 UTILIZAÇÕES. AF_10/2018</t>
  </si>
  <si>
    <t>ACIDO MURIATICO, DILUICAO 10% A 12% PARA USO EM LIMPEZA</t>
  </si>
  <si>
    <t>PLACA DE OBRA EM CHAPA DE ACO GALVANIZADO</t>
  </si>
  <si>
    <t>ENTRADA PROVISORIA DE ENERGIA ELETRICA AEREA TRIFASICA 40A EM POSTE MADEIRA</t>
  </si>
  <si>
    <t>PONTALETE DE MADEIRA NAO APARELHADA *7,5 X 7,5* CM (3 X 3 ") PINUS, MISTA OU EQUIVALENTE DA REGIAO</t>
  </si>
  <si>
    <t>TABUA DE MADEIRA NAO APARELHADA *2,5 X 30 CM (1 X 12 ") PINUS, MISTA OU EQUIVALENTE DA REGIÃO</t>
  </si>
  <si>
    <t>CASCALHO DE CAVA</t>
  </si>
  <si>
    <t>CERCA COM MOURÕES DE CONCRETO, SEÇÃO "T" PONTA INCLINADA, 10X10CM, ESPAÇAMENTO DE 3M, CRAVADOS 0,5M, COM 11 FIOS DE ARAME FARPADO Nº16</t>
  </si>
  <si>
    <t>ARAME FARPADO GALVANIZADO, 16 BWG (1,65 MM), CLASSE 250</t>
  </si>
  <si>
    <t>LOCAÇÃO DE CONTAINER 2,30 X 6,00 M, ALT. 2,50 M, COM 1 SANITARIO, PARA ESCRITORIO, COMPLETO SEM DIVISORIAS INTERNAS</t>
  </si>
  <si>
    <t>LOCAÇÃO DE CONTAINER 2,30 X 4,30 M, ALT. 2,50 M, PARA SANITARIO, COM 3 BACIAS, 4 CHUVEIROS, 1 LAVATORIO E 1 MICTORIO</t>
  </si>
  <si>
    <t>CPU 01/SLU/DF</t>
  </si>
  <si>
    <t>CERCA COM MOURÕES DE CONCRETO, SEÇÃO "T" PONTA INCLINADA, 10X10CM, ESPAÇAMENTO DE 3M, CRAVADOS 0,5M, COM TELA  LOSANGULAR ALTURA 2,0M</t>
  </si>
  <si>
    <t>TUBO ACO GALVANIZADO COM COSTURA, CLASSE LEVE, DN 65 MM ( 2 1/2"), E = 3,35 MM, *6,23* KG/M (NBR 5580)</t>
  </si>
  <si>
    <t>TUBO ACO GALVANIZADO COM COSTURA, CLASSE LEVE, DN 80 MM ( 3"), E = 3,35 MM, *7,32* KG/M (NBR 5580)</t>
  </si>
  <si>
    <t>JANELA BASCULANTE EM ALUMINIO, 80 X 60 CM (A X L), ACABAMENTO ACET OU BRILHANTE, BATENTE/REQUADRO DE 3 A 14 CM, COM VIDRO, SEM GUARNICAO/ALIZAR</t>
  </si>
  <si>
    <t>PLACA SINALIZAÇÃO PARA EXTINTOR</t>
  </si>
  <si>
    <t>PLACA DE SINALIZACAO DE SEGURANCA CONTRA INCENDIO, QUADRADA, *20 X 20* CM, EM PVC *2* MM ANTI-CHAMAS (SIMBOLOS, CORES E PICTOGRAMASFOTOLUMINESCENTE CONFORME NBR 13434)</t>
  </si>
  <si>
    <t>OPERADOR DE BETONEIRA ESTACIONÁRIA/MISTURADOR COM ENCARGOS COMPLEMENTARES</t>
  </si>
  <si>
    <t>SARRAFO DE MADEIRA NAO APARELHADA *2,5 X 7,5* CM (1 X 3 ") PINUS, MISTA OU EQUIVALENTE DA REGIAO</t>
  </si>
  <si>
    <t>CPU 10/SLU/DF</t>
  </si>
  <si>
    <t>LEIS SOCIAIS. (114,09%) DESONERADO E ENCARGOS COMPLEMENTARES</t>
  </si>
  <si>
    <t xml:space="preserve">LEIS SOCIAIS. (73,43%) </t>
  </si>
  <si>
    <t>PLANTIO DE GRAMA EM PLACAS. AF_05/2018</t>
  </si>
  <si>
    <t>PLANTIO DE ARBUSTO OU CERCA VIVA. AF_05/2018</t>
  </si>
  <si>
    <t>FABRICAÇÃO, MONTAGEM E DESMONTAGEM DE FÔRMA PARA VIGA BALDRAME, EM MADEIRA SERRADA, E=25 MM, 4 UTILIZAÇÕES. AF_06/2017</t>
  </si>
  <si>
    <t>PISO CIMENTADO, TRAÇO 1:3 (CIMENTO E AREIA), ACABAMENTO LISO, ESPESSURA 3,0 CM, PREPARO MECÂNICO DA ARGAMASSA. AF_06/2018</t>
  </si>
  <si>
    <t>CAIXA DE PASSAGEM 30X30X40 COM TAMPA E DRENO BRITA</t>
  </si>
  <si>
    <t>LUMINARIA SOBREPOR TP CALHA C/REATOR PART CONVENC LAMP 1X20W E STARTERFIX EM LAJE OU FORRO - FORNECIMENTO E COLOCACAO</t>
  </si>
  <si>
    <t>LUMINÁRIA TIPO PLAFON REDONDO COM VIDRO FOSCO, DE SOBREPOR, COM 1 LÂMPADA DE 15 W - FORNECIMENTO E INSTALAÇÃO. AF_11/2017</t>
  </si>
  <si>
    <t>REFLETOR EM ALUMÍNIO COM SUPORTE E ALÇA, LÂMPADA 250 W - FORNECIMENTO E INSTALAÇÃO. AF_11/2017</t>
  </si>
  <si>
    <t>TANQUE SÉPTICO CIRCULAR, EM CONCRETO PRÉ-MOLDADO, DIÂMETRO INTERNO = 1,10 M, ALTURA INTERNA = 2,50 M, VOLUME ÚTIL: 2138,2 L (PARA 5 CONTRIBUINTES). AF_05/2018</t>
  </si>
  <si>
    <t>SUMIDOURO RETANGULAR, EM ALVENARIA COM BLOCOS DE CONCRETO, DIMENSÕES INTERNAS: 0,8 X 1,4 X 3,0 M, ÁREA DE INFILTRAÇÃO: 13,2 M² (PARA 5 CONTRIBUINTES). AF_05/2018</t>
  </si>
  <si>
    <t>CAIXA DE INSPEÇÃO EM CONCRETO PRÉ-MOLDADO DN 60CM COM TAMPA H= 60CM - FORNECIMENTO E INSTALACAO</t>
  </si>
  <si>
    <t>EXECUÇÃO E COMPACTAÇÃO DE BASE E OU SUB BASE COM BRITA GRADUADA SIMPLES - EXCLUSIVE CARGA E TRANSPORTE. AF_09/2017</t>
  </si>
  <si>
    <t>FERRAMENTAS (ENCARGOS COMPLEMENTARES) - HORISTA</t>
  </si>
  <si>
    <t>ADESIVO TOTEM</t>
  </si>
  <si>
    <t>74209/1</t>
  </si>
  <si>
    <t>INSTALAÇÃO DE TESOURA (INTEIRA OU MEIA), BIAPOIADA, EM MADEIRA NÃO APARELHADA, PARA VÃOS MAIORES OU IGUAIS A 3,0 M E MENORES QUE 6,0 M, INCLUSO IÇAMENTO. AF_12/2015</t>
  </si>
  <si>
    <t>74125/1</t>
  </si>
  <si>
    <t>JANELA DE ALUMÍNIO DE CORRER, 2 FOLHAS, FIXAÇÃO COM PARAFUSO SOBRE CONTRAMARCO (EXCLUSIVE CONTRAMARCO), COM VIDROS PADRONIZADA. AF_07/2016</t>
  </si>
  <si>
    <t>ARMAÇÃO UTILIZANDO AÇO CA-25 DE 6,3 MM - MONTAGEM. AF_12/2015</t>
  </si>
  <si>
    <t>ARMAÇÃO DE BLOCO, VIGA BALDRAME OU SAPATA UTILIZANDO AÇO CA-50 DE 10 MM - MONTAGEM. AF_06/2017</t>
  </si>
  <si>
    <t>LANÇAMENTO COM USO DE BALDES, ADENSAMENTO E ACABAMENTO DE CONCRETO EM ESTRUTURAS. AF_12/2015</t>
  </si>
  <si>
    <t>74202/1</t>
  </si>
  <si>
    <t>74106/1</t>
  </si>
  <si>
    <t>73798/1</t>
  </si>
  <si>
    <t>73798/3</t>
  </si>
  <si>
    <t>74130/1</t>
  </si>
  <si>
    <t>74130/2</t>
  </si>
  <si>
    <t>73953/9</t>
  </si>
  <si>
    <t>73769/2</t>
  </si>
  <si>
    <t>73775/2</t>
  </si>
  <si>
    <t>CABO TELEFÔNICO CTP-APL-50 10 PARES INSTALADO EM ENTRADA DE EDIFICAÇÃO - FORNECIMENTO E INSTALAÇÃO. AF_04/2018</t>
  </si>
  <si>
    <t>74166/1</t>
  </si>
  <si>
    <t>74218/1</t>
  </si>
  <si>
    <t>74154/1</t>
  </si>
  <si>
    <t>TRANSPORTE COM CAMINHÃO BASCULANTE DE 6 M3, EM VIA URBANA PAVIMENTADA, DMT ACIMA DE 30 KM (UNIDADE: M3XKM). AF_01/2018</t>
  </si>
  <si>
    <t>LASTRO COM PREPARO DE FUNDO, LARGURA MAIOR OU IGUAL A 1,5 M, COM CAMADA DE BRITA, LANÇAMENTO MANUAL, EM LOCAL COM NÍVEL BAIXO DE INTERFERÊNCIA. AF_06/2016</t>
  </si>
  <si>
    <t>73739/1</t>
  </si>
  <si>
    <t>74022/30</t>
  </si>
  <si>
    <t>ELETRICISTA COM ENCARGOS COMPLEMENTARES</t>
  </si>
  <si>
    <t>!EM PROCESSO DE DESATIVACAO! HASTE DE ATERRAMENTO EM ACO COM 3,00 M DE COMPRIMENTO E DN = 5/8", REVESTIDA COM BAIXA CAMADA DE COBRE, COM CONECTOR TIPO GRAMPO</t>
  </si>
  <si>
    <t>ARMACAO VERTICAL COM HASTE E CONTRA-PINO, EM CHAPA DE ACO GALVANIZADO 3/16", COM 1 ESTRIBO E 1 ISOLADOR</t>
  </si>
  <si>
    <t>ARRUELA QUADRADA EM ACO GALVANIZADO, DIMENSAO = 38 MM, ESPESSURA = 3MM, DIAMETRO DO FURO= 18 MM</t>
  </si>
  <si>
    <t>CABO DE COBRE, RIGIDO, CLASSE 2, ISOLACAO EM PVC/A, ANTICHAMA BWF-B, 1 CONDUTOR, 450/750 V, SECAO NOMINAL 10 MM2</t>
  </si>
  <si>
    <t>CAIXA DE PROTECAO PARA 1 MEDIDOR MONOFASICO, EM CHAPA DE ACO 20 USG (PADRAO DA CONCESSIONARIA LOCAL)</t>
  </si>
  <si>
    <t>CHAPA DE ACO GALVANIZADA BITOLA GSG 18, E = 1,25 MM (10,00 KG/M2)</t>
  </si>
  <si>
    <t>CINTA CIRCULAR EM ACO GALVANIZADO DE 150 MM DE DIAMETRO PARA FIXACAO DE CAIXA MEDICAO, INCLUI PARAFUSOS E PORCAS</t>
  </si>
  <si>
    <t>CONECTOR METALICO TIPO PARAFUSO FENDIDO (SPLIT BOLT), PARA CABOS ATE 10 MM2</t>
  </si>
  <si>
    <t>ELETRODUTO DE PVC RIGIDO ROSCAVEL DE 1 ", SEM LUVA</t>
  </si>
  <si>
    <t>ELETRODUTO DE PVC RIGIDO ROSCAVEL DE 1/2 ", SEM LUVA</t>
  </si>
  <si>
    <t>ISOLADOR DE PORCELANA, TIPO ROLDANA, DIMENSOES DE *72* X *72* MM, PARA USO EM BAIXA TENSAO</t>
  </si>
  <si>
    <t>PARAFUSO ZINCADO, SEXTAVADO, COM ROSCA INTEIRA, DIAMETRO 5/8", COMPRIMENTO 3", COM PORCA E ARRUELA DE PRESSAO MEDIA</t>
  </si>
  <si>
    <t>POSTE DE CONCRETO CIRCULAR, 150 KG, H = 10 M (NBR 8451)</t>
  </si>
  <si>
    <t>ROLDANA PLASTICA COM PREGO, TAMANHO 30 X 30 MM, PARA INSTALACAO ELETRICA APARENTE</t>
  </si>
  <si>
    <t>SELADOR ACRILICO PAREDES INTERNAS/EXTERNAS</t>
  </si>
  <si>
    <t>CPU 11/SLU/DF</t>
  </si>
  <si>
    <t>UNID.</t>
  </si>
  <si>
    <t>ART OBRA E SERVIÇO - CREA/DF</t>
  </si>
  <si>
    <t>CREA-DF</t>
  </si>
  <si>
    <t>CPU 12/SLU/DF</t>
  </si>
  <si>
    <t>PISTA DE ENTRADA/CALÇADA</t>
  </si>
  <si>
    <t>MOMENTO EXTRAORDINÁRIO COM CAMINHAO BASCULANTE 6 M3</t>
  </si>
  <si>
    <t>MOMENTO EXTRAORDINÁRIO COM CAMINHAO BASCULANTE 10 M3</t>
  </si>
  <si>
    <t>LOCAÇÃO DA OBRA COM EXECUÇÃO DO GABARITO (PERÍMETRO)</t>
  </si>
  <si>
    <t>ALOCAÇÃO CAÇAMBA BROOKS</t>
  </si>
  <si>
    <t>obs: 18 peças/m²</t>
  </si>
  <si>
    <t>kg/m²</t>
  </si>
  <si>
    <t>BANHEIRO MASC.</t>
  </si>
  <si>
    <t>BANHEIRO FEM.</t>
  </si>
  <si>
    <t>ESCRITÓRIO</t>
  </si>
  <si>
    <t>SALA PARA COLETORES</t>
  </si>
  <si>
    <t>PISO CERÂMICO</t>
  </si>
  <si>
    <t>VARANDA</t>
  </si>
  <si>
    <t>BAIAS  (UNIAO TRÊS PRANCHAS)</t>
  </si>
  <si>
    <t>BAIAS  (UNIAO DUAS PRANCHAS)</t>
  </si>
  <si>
    <t>SALA COLETORES  (UNIAO TRES PRANCHAS)</t>
  </si>
  <si>
    <t>VIGOTAS 6X16</t>
  </si>
  <si>
    <t>1.3</t>
  </si>
  <si>
    <t>1.8</t>
  </si>
  <si>
    <t>1.11</t>
  </si>
  <si>
    <t>3.2</t>
  </si>
  <si>
    <t>PROJEÇÃO DE COBERTURA</t>
  </si>
  <si>
    <t>ÁREA DE PROJEÇÃO</t>
  </si>
  <si>
    <t>ARMAÇÃO ESTRIBOS</t>
  </si>
  <si>
    <t>ESPAÇAMENTO</t>
  </si>
  <si>
    <t>PEÇAS</t>
  </si>
  <si>
    <t>COMPRIMENTO ESTRIBO (M)</t>
  </si>
  <si>
    <t>TOTAL (KG)</t>
  </si>
  <si>
    <t>ARMAÇÃO VIGA BALDRAME</t>
  </si>
  <si>
    <t>CA-50 10mm (KG)</t>
  </si>
  <si>
    <t>CA-50 6,3mm (KG)</t>
  </si>
  <si>
    <t>COMPRIMENTO TOTAL (M)</t>
  </si>
  <si>
    <t>ÁREA ESTRUTURAS ENTERRADAS</t>
  </si>
  <si>
    <t>FERRAGEM (UN)</t>
  </si>
  <si>
    <t>BLOCO (M²)</t>
  </si>
  <si>
    <t>LARGURA BALDRAME (M²)</t>
  </si>
  <si>
    <t>COMPRIMENTO BALDRAME (M²)</t>
  </si>
  <si>
    <t>ÁREAS TOTAIS DAS PAREDES</t>
  </si>
  <si>
    <t>COMPRIMENTO EXTERNO (M)</t>
  </si>
  <si>
    <t>COMPRIMENTO INTERNO (M)</t>
  </si>
  <si>
    <t>BANHEIROS/TANQUE</t>
  </si>
  <si>
    <t>2º</t>
  </si>
  <si>
    <t>CRONOGRAMA DE DESEMBOLSO - 2019</t>
  </si>
  <si>
    <t>MÊS 03</t>
  </si>
  <si>
    <r>
      <t>OBJETO</t>
    </r>
    <r>
      <rPr>
        <b/>
        <sz val="14"/>
        <rFont val="Arial"/>
        <family val="2"/>
      </rPr>
      <t xml:space="preserve">: </t>
    </r>
  </si>
  <si>
    <t>ANO</t>
  </si>
  <si>
    <t>PLACA EM METALON IMPRESSO EM ALTA RESOLUÇÃO EM LONA TENCIONADA  (DIMENSÕES 6 X 1,3M) COM ILHOES PARA ALOCAÇÃO EM ALAMBRADO</t>
  </si>
  <si>
    <t>DISJUNTOR TIPO NEMA, MONOPOLAR 35 ATE 50 A, TENSAO MAXIMA DE 240 V</t>
  </si>
  <si>
    <t>CPU 14/SLU/DF</t>
  </si>
  <si>
    <t>CPU 15/SLU/DF</t>
  </si>
  <si>
    <t>GUINDAUTO HIDRÁULICO, CAPACIDADE MÁXIMA DE CARGA 6500 KG, MOMENTO MÁXIMO DE CARGA 5,8 TM, ALCANCE MÁXIMO HORIZONTAL 7,60 M, INCLUSIVE CAMINHÃO TOCOPBT 9.700 KG, POTÊNCIA DE 160 CV - CHP DIURNO. AF_08/2015</t>
  </si>
  <si>
    <t>TUBO ACO GALVANIZADO COM COSTURA, CLASSE MEDIA, DN 5", E = *5,40* MM, PESO *17,80*KG/M (NBR 5580)</t>
  </si>
  <si>
    <t>BROCAS (M)</t>
  </si>
  <si>
    <t>7.1.1</t>
  </si>
  <si>
    <t>COBERTURA</t>
  </si>
  <si>
    <t>7.2.5</t>
  </si>
  <si>
    <t>7.3</t>
  </si>
  <si>
    <t>7.4.3</t>
  </si>
  <si>
    <t>7.6</t>
  </si>
  <si>
    <t>2.1.1</t>
  </si>
  <si>
    <t>2.2.1</t>
  </si>
  <si>
    <t>2.2.2</t>
  </si>
  <si>
    <t>2.2.3</t>
  </si>
  <si>
    <t>2.2.4</t>
  </si>
  <si>
    <t>7.10.3</t>
  </si>
  <si>
    <t>7.11</t>
  </si>
  <si>
    <t>7.11.1</t>
  </si>
  <si>
    <t>7.12</t>
  </si>
  <si>
    <t>7.11.2</t>
  </si>
  <si>
    <t>7.11.3</t>
  </si>
  <si>
    <t>7.11.4</t>
  </si>
  <si>
    <t>7.11.5</t>
  </si>
  <si>
    <t>7.13</t>
  </si>
  <si>
    <t>7.14</t>
  </si>
  <si>
    <t>7.15</t>
  </si>
  <si>
    <t>7.16</t>
  </si>
  <si>
    <t>7.12.1</t>
  </si>
  <si>
    <t>7.12.2</t>
  </si>
  <si>
    <t>7.12.3</t>
  </si>
  <si>
    <t>7.12.4</t>
  </si>
  <si>
    <t>7.12.5</t>
  </si>
  <si>
    <t>7.13.1</t>
  </si>
  <si>
    <t>7.13.2</t>
  </si>
  <si>
    <t>7.13.3</t>
  </si>
  <si>
    <t>7.13.4</t>
  </si>
  <si>
    <t>7.13.5</t>
  </si>
  <si>
    <t>7.13.6</t>
  </si>
  <si>
    <t>7.13.7</t>
  </si>
  <si>
    <t>7.14.1</t>
  </si>
  <si>
    <t>7.14.2</t>
  </si>
  <si>
    <t>7.14.3</t>
  </si>
  <si>
    <t>7.14.4</t>
  </si>
  <si>
    <t>7.15.1</t>
  </si>
  <si>
    <t>7.15.2</t>
  </si>
  <si>
    <t>7.15.3</t>
  </si>
  <si>
    <t>7.15.4</t>
  </si>
  <si>
    <t>7.15.5</t>
  </si>
  <si>
    <t>7.15.6</t>
  </si>
  <si>
    <t>7.15.7</t>
  </si>
  <si>
    <t>7.15.8</t>
  </si>
  <si>
    <t>7.15.9</t>
  </si>
  <si>
    <t>7.15.10</t>
  </si>
  <si>
    <t>7.15.11</t>
  </si>
  <si>
    <t>7.15.12</t>
  </si>
  <si>
    <t>7.15.13</t>
  </si>
  <si>
    <t>7.15.14</t>
  </si>
  <si>
    <t>7.15.15</t>
  </si>
  <si>
    <t>7.16.1</t>
  </si>
  <si>
    <t>7.16.2</t>
  </si>
  <si>
    <t>7.16.3</t>
  </si>
  <si>
    <t>7.16.4</t>
  </si>
  <si>
    <t>7.16.5</t>
  </si>
  <si>
    <t>7.16.6</t>
  </si>
  <si>
    <t>7.16.7</t>
  </si>
  <si>
    <t>7.16.8</t>
  </si>
  <si>
    <t>7.16.9</t>
  </si>
  <si>
    <t>7.16.10</t>
  </si>
  <si>
    <t>7.16.11</t>
  </si>
  <si>
    <t>7.16.12</t>
  </si>
  <si>
    <t>7.16.13</t>
  </si>
  <si>
    <t>7.16.14</t>
  </si>
  <si>
    <t>7.16.15</t>
  </si>
  <si>
    <t>7.17</t>
  </si>
  <si>
    <t>7.17.1</t>
  </si>
  <si>
    <t>7.17.2</t>
  </si>
  <si>
    <t>11.1</t>
  </si>
  <si>
    <t>11.2</t>
  </si>
  <si>
    <t>11.3</t>
  </si>
  <si>
    <t>CPU-B1/SLU/DF</t>
  </si>
  <si>
    <t>CPU-B2/SLU/DF</t>
  </si>
  <si>
    <t>CPU-B3/SLU/DF</t>
  </si>
  <si>
    <t>CPU-B4/SLU/DF</t>
  </si>
  <si>
    <t>COD-SINAPI</t>
  </si>
  <si>
    <r>
      <t>un</t>
    </r>
    <r>
      <rPr>
        <b/>
        <i/>
        <u/>
        <vertAlign val="superscript"/>
        <sz val="10"/>
        <rFont val="Arial"/>
        <family val="2"/>
      </rPr>
      <t>idade</t>
    </r>
  </si>
  <si>
    <r>
      <t>QUAN</t>
    </r>
    <r>
      <rPr>
        <b/>
        <i/>
        <u/>
        <vertAlign val="superscript"/>
        <sz val="8"/>
        <rFont val="Arial"/>
        <family val="2"/>
      </rPr>
      <t>TIDADE</t>
    </r>
  </si>
  <si>
    <r>
      <t>P</t>
    </r>
    <r>
      <rPr>
        <b/>
        <i/>
        <u/>
        <vertAlign val="superscript"/>
        <sz val="8"/>
        <rFont val="Arial"/>
        <family val="2"/>
      </rPr>
      <t xml:space="preserve">REÇO </t>
    </r>
    <r>
      <rPr>
        <b/>
        <i/>
        <u/>
        <sz val="8"/>
        <rFont val="Arial"/>
        <family val="2"/>
      </rPr>
      <t>UN</t>
    </r>
    <r>
      <rPr>
        <b/>
        <i/>
        <u/>
        <vertAlign val="superscript"/>
        <sz val="8"/>
        <rFont val="Arial"/>
        <family val="2"/>
      </rPr>
      <t xml:space="preserve">ITÁRIO </t>
    </r>
  </si>
  <si>
    <r>
      <t>P</t>
    </r>
    <r>
      <rPr>
        <b/>
        <i/>
        <u/>
        <vertAlign val="superscript"/>
        <sz val="8"/>
        <rFont val="Arial"/>
        <family val="2"/>
      </rPr>
      <t>REÇO</t>
    </r>
    <r>
      <rPr>
        <b/>
        <i/>
        <u/>
        <sz val="8"/>
        <rFont val="Arial"/>
        <family val="2"/>
      </rPr>
      <t xml:space="preserve"> TOTAL</t>
    </r>
  </si>
  <si>
    <t>FORNECIMENTO E INSTALAÇÃO DE TERÇA METÁLICA</t>
  </si>
  <si>
    <t>7.1.4</t>
  </si>
  <si>
    <t>M.O</t>
  </si>
  <si>
    <t>PIS</t>
  </si>
  <si>
    <t>COFINS</t>
  </si>
  <si>
    <r>
      <t xml:space="preserve">ISS </t>
    </r>
    <r>
      <rPr>
        <sz val="10"/>
        <color indexed="8"/>
        <rFont val="Times New Roman"/>
        <family val="1"/>
      </rPr>
      <t>(CONFORME ITEM 7.02, DO MANUAL-TRIBUTO DO IMPOSTO SOBRE SERVIÇOS - LC 116/2003 - DEC 25.508/2005)</t>
    </r>
  </si>
  <si>
    <t>Desembolso fatura principal para o ano de 2019</t>
  </si>
  <si>
    <t>COMP. (M)</t>
  </si>
  <si>
    <t>SLU - SERVIÇO DE LIMPEZA URBANA DO DISTRITO FEDERAL</t>
  </si>
  <si>
    <t>Data-Base</t>
  </si>
  <si>
    <t>DIRETORIA TÉCNICA</t>
  </si>
  <si>
    <t>PLANILHA ORÇAMENTÁRIA</t>
  </si>
  <si>
    <t>Últ. atualização:</t>
  </si>
  <si>
    <t>Descrição:</t>
  </si>
  <si>
    <t>Endereço:</t>
  </si>
  <si>
    <t>Observações:</t>
  </si>
  <si>
    <t>Planilha de Composição de BDI</t>
  </si>
  <si>
    <t>CRONOGRAMA FÍSICO - FINANCEIRO</t>
  </si>
  <si>
    <t>COMPOSIÇÃO DAS BAIAS</t>
  </si>
  <si>
    <t>ANEXO D</t>
  </si>
  <si>
    <t>ANEXO E</t>
  </si>
  <si>
    <t xml:space="preserve"> PLANILHA DE ORÇAMENTOS - ANALÍTICA</t>
  </si>
  <si>
    <t>EMBOÇO, PARA RECEBIMENTO DE CERÂMICA, EM ARGAMASSA TRAÇO 1:2:8, PREPARO MANUAL, APLICADO MANUALMENTE EM FACES INTERNAS DE PAREDES DE AMBIENTES COM ÁREA MENOR QUE 5M2, ESPESSURA DE 10MM, COM EXECUÇÃO DE TALISCAS.</t>
  </si>
  <si>
    <t>EXECUÇÃO DE PAVIMENTO EM PISO INTERTRAVADO, COM BLOCO SEXTAVADO DE 25 X 25 CM, ESP 8 CM. AF_12/2015.</t>
  </si>
  <si>
    <t>QTDADE</t>
  </si>
  <si>
    <t>PROFUNDIDADE (M)</t>
  </si>
  <si>
    <t>ELETRODUTO FLEXÍVEL CORRUGAD PVC DN 25MM (3/4')</t>
  </si>
  <si>
    <t>CONCRETO MAGRO PARA LASTRO, TRAÇO 1:4,5:4,5 (CIMENTO/ AREIA MÉDIA/ BRITA 1) - PREP MEC COM BETON 400 L. AF_07/2016</t>
  </si>
  <si>
    <t>LIGAÇÃO PROVISÓRIA DE ÁGUA PARA OBRA, INSTALAÇÃO SANITÁRIA PROVI, PEQ. OBRAS - INSTALAÇÃO MÍNIMA</t>
  </si>
  <si>
    <t>PONTO DE ENTREGA VOLUNTÁRIA DE PEQUENOS VOLUMES - PEV - PAPA ENTULHO</t>
  </si>
  <si>
    <t>PEV - SANTA MARIA</t>
  </si>
  <si>
    <t>VIGA H1</t>
  </si>
  <si>
    <t>VIGA H2</t>
  </si>
  <si>
    <t>VIGA H3</t>
  </si>
  <si>
    <t>VIGA H4</t>
  </si>
  <si>
    <t>VIGA V1</t>
  </si>
  <si>
    <t>VIGA V2</t>
  </si>
  <si>
    <t>VIGA V3</t>
  </si>
  <si>
    <t>BANHEIROS</t>
  </si>
  <si>
    <t>PAREDE V.1</t>
  </si>
  <si>
    <t>PAREDE V.2</t>
  </si>
  <si>
    <t>PAREDE V.3</t>
  </si>
  <si>
    <t>ÁREA BAIAS + APOIO</t>
  </si>
  <si>
    <t>NÚCLEO RURAL ALAGADO - PRÓXIMO AO CONJUNTO C DA AC-105</t>
  </si>
  <si>
    <t>SUB TOTAL - 01</t>
  </si>
  <si>
    <t>SUB TOTAL - 02</t>
  </si>
  <si>
    <t>SUB TOTAL - 05</t>
  </si>
  <si>
    <t>SUB TOTAL - 06</t>
  </si>
  <si>
    <t>SUB TOTAL - 07</t>
  </si>
  <si>
    <t>SUB TOTAL - 08</t>
  </si>
  <si>
    <t>SUB TOTAL - 09</t>
  </si>
  <si>
    <t>SUB TOTAL - 10</t>
  </si>
  <si>
    <t>SUB TOTAL - 11</t>
  </si>
  <si>
    <t>PLACA DE ORIENTAÇÃO SOBRE O ENDEREÇO DO NOVO EQUIPAMENTO EM METALON IMPRESSO EM ALTA RESOLUÇÃO COM ASTE DE MADEIRA PARA FIXAÇÃO NO CHÃO, COM DIMENSÕES DE 2X1,5m</t>
  </si>
  <si>
    <t>REF. SINAPI - 08/2019</t>
  </si>
  <si>
    <t>MEMÓRIA DE CÁLCULO</t>
  </si>
  <si>
    <t>4º</t>
  </si>
  <si>
    <t>3º</t>
  </si>
  <si>
    <t>MÊS 04</t>
  </si>
  <si>
    <t>CEB/DF</t>
  </si>
  <si>
    <t>CONCRETO MAGRO PARA LASTRO, TRAÇO 1:4,5:4,5 (CIMENTO/ AREIA MÉDIA/ BRITA 1) - PREP MEC COM BETONEIRA 400 L. AF_07/2016</t>
  </si>
  <si>
    <t>ENCANADOR OU BOMBEIRO HIDRÁULICO COM ENCARGOS COMPLEM</t>
  </si>
  <si>
    <t>ALVENARIA DE VEDAÇÃO DE BLOCOS CERÂMICOS FURADOS NA VERTICAL DE 9X19X3 9CM (ESPESSURA 9CM) DE PAREDES COM ÁREA LÍQUIDA MAIOR QUE 6M² SEM VÃOS E ARGA. DE ASSENTAMENTO COM PREPARO EM BETONEIRA</t>
  </si>
  <si>
    <t>PORTA DE ALUMINIO DE BRIR TIPO VENEZIANA COM GUARNIÇÃO, FIXAÇÃO COM PARAFUSO - FORNECIM E INSTALAÇÃ</t>
  </si>
  <si>
    <t>TELA DE ARAME GALV QUADRANGU/LOSANG, 
FIO 2,77 MM (12 BWG), MALHA 10X10 CM H=2 M</t>
  </si>
  <si>
    <t>PREÇO</t>
  </si>
  <si>
    <t>COEF.</t>
  </si>
  <si>
    <t>PAINEL DE MADEIRA FECHADO COM TELA, 10X10CM</t>
  </si>
  <si>
    <t>SARRAFO 2,5X10</t>
  </si>
  <si>
    <t>PAINEL DE FECHAMENTO</t>
  </si>
  <si>
    <t>PAINEL DE FECHAMENTO PREÇO UNITÁRIO</t>
  </si>
  <si>
    <t>PARAFUSOS D= 8 mm, L min = 110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</si>
</sst>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mmm\-yy"/>
    <numFmt numFmtId="168" formatCode="[$-416]d\-mmm\-yy;@"/>
    <numFmt numFmtId="170" formatCode="&quot; &quot;#,##0.00&quot; &quot;;&quot; (&quot;#,##0.00&quot;)&quot;;&quot; -&quot;00&quot; &quot;;&quot; &quot;@&quot; &quot;"/>
    <numFmt numFmtId="171" formatCode="#,##0.00;&quot;-&quot;#,##0.00"/>
    <numFmt numFmtId="172" formatCode="\$#,##0\ ;\(\$#,##0\)"/>
    <numFmt numFmtId="173" formatCode="_-* #,##0.00\ [$€]_-;\-* #,##0.00\ [$€]_-;_-* &quot;-&quot;??\ [$€]_-;_-@_-"/>
    <numFmt numFmtId="175" formatCode="&quot;R$ &quot;#,##0.00"/>
    <numFmt numFmtId="176" formatCode="###,###,##0.00"/>
    <numFmt numFmtId="177" formatCode="0.000"/>
  </numFmts>
  <fonts count="7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u/>
      <sz val="14"/>
      <color indexed="8"/>
      <name val="Times New Roman"/>
      <family val="1"/>
    </font>
    <font>
      <b/>
      <u/>
      <sz val="16"/>
      <color indexed="8"/>
      <name val="Times New Roman"/>
      <family val="1"/>
    </font>
    <font>
      <sz val="10"/>
      <color indexed="8"/>
      <name val="Times New Roman"/>
      <family val="1"/>
    </font>
    <font>
      <i/>
      <u/>
      <sz val="14"/>
      <color indexed="8"/>
      <name val="Times New Roman"/>
      <family val="1"/>
    </font>
    <font>
      <sz val="8"/>
      <color indexed="8"/>
      <name val="Times New Roman"/>
      <family val="1"/>
    </font>
    <font>
      <u/>
      <sz val="14"/>
      <color indexed="8"/>
      <name val="Calibri"/>
      <family val="2"/>
    </font>
    <font>
      <sz val="14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Segoe UI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sz val="12"/>
      <color indexed="2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vertAlign val="superscript"/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rgb="FF9999FF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B0F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9999FF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i/>
      <u/>
      <sz val="8"/>
      <name val="Arial"/>
      <family val="2"/>
    </font>
    <font>
      <b/>
      <i/>
      <u/>
      <vertAlign val="superscript"/>
      <sz val="10"/>
      <name val="Arial"/>
      <family val="2"/>
    </font>
    <font>
      <b/>
      <i/>
      <u/>
      <vertAlign val="superscript"/>
      <sz val="8"/>
      <name val="Arial"/>
      <family val="2"/>
    </font>
    <font>
      <b/>
      <sz val="14"/>
      <color indexed="8"/>
      <name val="Arial"/>
      <family val="2"/>
    </font>
    <font>
      <sz val="13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Calibri"/>
      <family val="2"/>
    </font>
    <font>
      <u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BE5F1"/>
      </patternFill>
    </fill>
    <fill>
      <patternFill patternType="solid">
        <fgColor rgb="FF99FF99"/>
        <bgColor rgb="FFC0C0C0"/>
      </patternFill>
    </fill>
    <fill>
      <patternFill patternType="solid">
        <fgColor theme="1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22"/>
      </top>
      <bottom style="double">
        <color theme="0" tint="-0.24994659260841701"/>
      </bottom>
      <diagonal/>
    </border>
    <border>
      <left style="double">
        <color theme="0" tint="-0.24994659260841701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double">
        <color theme="0" tint="-0.24994659260841701"/>
      </left>
      <right/>
      <top/>
      <bottom style="double">
        <color indexed="64"/>
      </bottom>
      <diagonal/>
    </border>
    <border>
      <left/>
      <right style="double">
        <color theme="0" tint="-0.24994659260841701"/>
      </right>
      <top/>
      <bottom style="double">
        <color indexed="64"/>
      </bottom>
      <diagonal/>
    </border>
    <border>
      <left style="double">
        <color theme="0" tint="-0.24994659260841701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double">
        <color indexed="22"/>
      </top>
      <bottom style="double">
        <color indexed="22"/>
      </bottom>
      <diagonal/>
    </border>
    <border>
      <left style="double">
        <color theme="0" tint="-0.24994659260841701"/>
      </left>
      <right style="thin">
        <color indexed="22"/>
      </right>
      <top style="double">
        <color indexed="22"/>
      </top>
      <bottom style="hair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double">
        <color indexed="22"/>
      </top>
      <bottom style="hair">
        <color indexed="22"/>
      </bottom>
      <diagonal/>
    </border>
    <border>
      <left style="double">
        <color theme="0" tint="-0.24994659260841701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hair">
        <color indexed="22"/>
      </top>
      <bottom style="hair">
        <color indexed="22"/>
      </bottom>
      <diagonal/>
    </border>
    <border>
      <left style="double">
        <color theme="0" tint="-0.24994659260841701"/>
      </left>
      <right/>
      <top style="hair">
        <color indexed="22"/>
      </top>
      <bottom style="hair">
        <color indexed="22"/>
      </bottom>
      <diagonal/>
    </border>
    <border>
      <left style="double">
        <color theme="0" tint="-0.24994659260841701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double">
        <color theme="0" tint="-0.24994659260841701"/>
      </right>
      <top style="hair">
        <color indexed="22"/>
      </top>
      <bottom/>
      <diagonal/>
    </border>
    <border>
      <left style="double">
        <color theme="0" tint="-0.24994659260841701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medium">
        <color indexed="22"/>
      </top>
      <bottom style="medium">
        <color indexed="22"/>
      </bottom>
      <diagonal/>
    </border>
    <border>
      <left style="double">
        <color theme="0" tint="-0.24994659260841701"/>
      </left>
      <right style="thin">
        <color indexed="22"/>
      </right>
      <top/>
      <bottom style="hair">
        <color indexed="22"/>
      </bottom>
      <diagonal/>
    </border>
    <border>
      <left style="thin">
        <color indexed="22"/>
      </left>
      <right style="double">
        <color theme="0" tint="-0.24994659260841701"/>
      </right>
      <top/>
      <bottom style="hair">
        <color indexed="22"/>
      </bottom>
      <diagonal/>
    </border>
    <border>
      <left style="double">
        <color theme="0" tint="-0.24994659260841701"/>
      </left>
      <right/>
      <top style="hair">
        <color indexed="22"/>
      </top>
      <bottom style="medium">
        <color indexed="22"/>
      </bottom>
      <diagonal/>
    </border>
    <border>
      <left/>
      <right style="double">
        <color theme="0" tint="-0.24994659260841701"/>
      </right>
      <top style="hair">
        <color indexed="22"/>
      </top>
      <bottom style="medium">
        <color indexed="22"/>
      </bottom>
      <diagonal/>
    </border>
    <border>
      <left style="double">
        <color theme="0" tint="-0.24994659260841701"/>
      </left>
      <right/>
      <top style="medium">
        <color indexed="22"/>
      </top>
      <bottom style="medium">
        <color indexed="22"/>
      </bottom>
      <diagonal/>
    </border>
    <border>
      <left/>
      <right style="double">
        <color theme="0" tint="-0.24994659260841701"/>
      </right>
      <top style="medium">
        <color indexed="22"/>
      </top>
      <bottom style="medium">
        <color indexed="22"/>
      </bottom>
      <diagonal/>
    </border>
    <border>
      <left style="double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thin">
        <color indexed="22"/>
      </top>
      <bottom style="double">
        <color indexed="22"/>
      </bottom>
      <diagonal/>
    </border>
    <border>
      <left style="double">
        <color theme="0" tint="-0.24994659260841701"/>
      </left>
      <right/>
      <top style="double">
        <color indexed="22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indexed="22"/>
      </top>
      <bottom style="double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4" fontId="37" fillId="0" borderId="0" applyNumberFormat="0" applyFont="0" applyFill="0" applyBorder="0" applyAlignment="0" applyProtection="0">
      <alignment vertical="center" wrapText="1"/>
      <protection locked="0"/>
    </xf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4" fontId="27" fillId="0" borderId="0">
      <alignment vertical="center" wrapText="1"/>
      <protection locked="0"/>
    </xf>
    <xf numFmtId="4" fontId="27" fillId="0" borderId="0">
      <alignment vertical="center" wrapText="1"/>
      <protection locked="0"/>
    </xf>
    <xf numFmtId="0" fontId="36" fillId="0" borderId="0"/>
    <xf numFmtId="0" fontId="11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4" fontId="27" fillId="0" borderId="0">
      <alignment vertical="center" wrapText="1"/>
      <protection locked="0"/>
    </xf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4" fontId="37" fillId="0" borderId="0">
      <alignment vertical="center" wrapText="1"/>
      <protection locked="0"/>
    </xf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 wrapText="1"/>
      <protection locked="0"/>
    </xf>
    <xf numFmtId="10" fontId="37" fillId="0" borderId="0" applyFont="0" applyFill="0" applyBorder="0" applyAlignment="0" applyProtection="0">
      <alignment vertical="center" wrapText="1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7" fillId="0" borderId="0" applyFont="0" applyFill="0" applyBorder="0" applyAlignment="0" applyProtection="0">
      <alignment vertical="center" wrapText="1"/>
      <protection locked="0"/>
    </xf>
    <xf numFmtId="166" fontId="3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7" fillId="0" borderId="0" applyFont="0" applyFill="0" applyBorder="0" applyAlignment="0" applyProtection="0">
      <alignment vertical="center" wrapText="1"/>
      <protection locked="0"/>
    </xf>
    <xf numFmtId="166" fontId="36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9" fillId="0" borderId="0" applyFill="0" applyBorder="0" applyAlignment="0" applyProtection="0">
      <alignment vertical="center" wrapText="1"/>
      <protection locked="0"/>
    </xf>
    <xf numFmtId="0" fontId="40" fillId="0" borderId="0" applyNumberFormat="0" applyFill="0" applyBorder="0" applyAlignment="0" applyProtection="0"/>
    <xf numFmtId="0" fontId="41" fillId="0" borderId="65" applyNumberFormat="0" applyFill="0" applyAlignment="0" applyProtection="0"/>
    <xf numFmtId="3" fontId="27" fillId="0" borderId="0" applyFont="0" applyFill="0" applyBorder="0" applyAlignment="0" applyProtection="0"/>
    <xf numFmtId="0" fontId="11" fillId="0" borderId="0"/>
    <xf numFmtId="0" fontId="70" fillId="0" borderId="0"/>
  </cellStyleXfs>
  <cellXfs count="854">
    <xf numFmtId="0" fontId="0" fillId="0" borderId="0" xfId="0"/>
    <xf numFmtId="0" fontId="11" fillId="0" borderId="0" xfId="14"/>
    <xf numFmtId="10" fontId="11" fillId="0" borderId="0" xfId="14" applyNumberFormat="1"/>
    <xf numFmtId="40" fontId="11" fillId="0" borderId="0" xfId="14" applyNumberFormat="1"/>
    <xf numFmtId="0" fontId="11" fillId="0" borderId="0" xfId="14" applyFont="1"/>
    <xf numFmtId="0" fontId="21" fillId="0" borderId="0" xfId="14" applyFont="1"/>
    <xf numFmtId="0" fontId="39" fillId="0" borderId="66" xfId="0" applyFont="1" applyBorder="1" applyAlignment="1">
      <alignment horizontal="left" vertical="top" wrapText="1"/>
    </xf>
    <xf numFmtId="4" fontId="39" fillId="0" borderId="66" xfId="0" applyNumberFormat="1" applyFont="1" applyBorder="1" applyAlignment="1">
      <alignment horizontal="right" vertical="top" wrapText="1"/>
    </xf>
    <xf numFmtId="0" fontId="39" fillId="0" borderId="66" xfId="0" applyFont="1" applyBorder="1" applyAlignment="1">
      <alignment horizontal="center" vertical="top" wrapText="1"/>
    </xf>
    <xf numFmtId="0" fontId="42" fillId="0" borderId="67" xfId="0" applyFont="1" applyBorder="1" applyAlignment="1">
      <alignment horizontal="right" vertical="top" wrapText="1"/>
    </xf>
    <xf numFmtId="4" fontId="39" fillId="0" borderId="68" xfId="0" applyNumberFormat="1" applyFont="1" applyBorder="1" applyAlignment="1">
      <alignment horizontal="right" vertical="top" wrapText="1"/>
    </xf>
    <xf numFmtId="0" fontId="42" fillId="0" borderId="69" xfId="0" applyFont="1" applyBorder="1" applyAlignment="1">
      <alignment horizontal="right" vertical="top" wrapText="1"/>
    </xf>
    <xf numFmtId="0" fontId="39" fillId="0" borderId="70" xfId="0" applyFont="1" applyBorder="1" applyAlignment="1">
      <alignment horizontal="left" vertical="top" wrapText="1"/>
    </xf>
    <xf numFmtId="0" fontId="39" fillId="0" borderId="70" xfId="0" applyFont="1" applyBorder="1" applyAlignment="1">
      <alignment horizontal="center" vertical="top" wrapText="1"/>
    </xf>
    <xf numFmtId="4" fontId="39" fillId="0" borderId="70" xfId="0" applyNumberFormat="1" applyFont="1" applyBorder="1" applyAlignment="1">
      <alignment horizontal="right" vertical="top" wrapText="1"/>
    </xf>
    <xf numFmtId="4" fontId="39" fillId="0" borderId="71" xfId="0" applyNumberFormat="1" applyFont="1" applyBorder="1" applyAlignment="1">
      <alignment horizontal="right" vertical="top" wrapText="1"/>
    </xf>
    <xf numFmtId="0" fontId="1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0" fillId="0" borderId="8" xfId="0" applyBorder="1"/>
    <xf numFmtId="0" fontId="0" fillId="0" borderId="9" xfId="0" applyBorder="1"/>
    <xf numFmtId="2" fontId="0" fillId="0" borderId="0" xfId="0" applyNumberFormat="1"/>
    <xf numFmtId="4" fontId="37" fillId="0" borderId="0" xfId="30">
      <alignment vertical="center" wrapText="1"/>
      <protection locked="0"/>
    </xf>
    <xf numFmtId="4" fontId="37" fillId="0" borderId="0" xfId="30" applyBorder="1">
      <alignment vertical="center" wrapText="1"/>
      <protection locked="0"/>
    </xf>
    <xf numFmtId="0" fontId="24" fillId="0" borderId="0" xfId="0" applyFont="1" applyFill="1" applyBorder="1" applyAlignment="1">
      <alignment horizontal="center" vertical="top"/>
    </xf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left"/>
    </xf>
    <xf numFmtId="175" fontId="0" fillId="2" borderId="0" xfId="0" applyNumberFormat="1" applyFill="1"/>
    <xf numFmtId="175" fontId="31" fillId="2" borderId="0" xfId="0" applyNumberFormat="1" applyFont="1" applyFill="1"/>
    <xf numFmtId="10" fontId="0" fillId="2" borderId="0" xfId="0" applyNumberFormat="1" applyFill="1" applyAlignment="1">
      <alignment horizontal="center"/>
    </xf>
    <xf numFmtId="0" fontId="0" fillId="3" borderId="0" xfId="0" applyFill="1"/>
    <xf numFmtId="0" fontId="45" fillId="0" borderId="0" xfId="0" applyFont="1"/>
    <xf numFmtId="4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2" fontId="0" fillId="0" borderId="3" xfId="0" applyNumberFormat="1" applyBorder="1"/>
    <xf numFmtId="0" fontId="37" fillId="0" borderId="0" xfId="30" applyNumberFormat="1" applyFill="1" applyBorder="1" applyAlignment="1" applyProtection="1"/>
    <xf numFmtId="0" fontId="24" fillId="0" borderId="0" xfId="0" applyFont="1" applyFill="1" applyBorder="1" applyAlignment="1">
      <alignment vertical="top"/>
    </xf>
    <xf numFmtId="4" fontId="37" fillId="3" borderId="0" xfId="30" applyFill="1" applyBorder="1">
      <alignment vertical="center" wrapText="1"/>
      <protection locked="0"/>
    </xf>
    <xf numFmtId="170" fontId="46" fillId="0" borderId="1" xfId="43" applyNumberFormat="1" applyFont="1" applyFill="1" applyBorder="1" applyAlignment="1">
      <alignment horizontal="center" vertical="center" wrapText="1"/>
      <protection locked="0"/>
    </xf>
    <xf numFmtId="4" fontId="46" fillId="0" borderId="3" xfId="30" applyNumberFormat="1" applyFont="1" applyBorder="1" applyAlignment="1" applyProtection="1">
      <alignment horizontal="center" vertical="center" wrapText="1"/>
    </xf>
    <xf numFmtId="0" fontId="46" fillId="0" borderId="2" xfId="30" applyNumberFormat="1" applyFont="1" applyFill="1" applyBorder="1" applyAlignment="1" applyProtection="1">
      <alignment horizontal="center" vertical="center" wrapText="1"/>
    </xf>
    <xf numFmtId="170" fontId="47" fillId="0" borderId="1" xfId="30" applyNumberFormat="1" applyFont="1" applyFill="1" applyBorder="1" applyAlignment="1" applyProtection="1">
      <alignment horizontal="center" vertical="center" wrapText="1"/>
    </xf>
    <xf numFmtId="0" fontId="46" fillId="3" borderId="2" xfId="30" applyNumberFormat="1" applyFont="1" applyFill="1" applyBorder="1" applyAlignment="1" applyProtection="1">
      <alignment horizontal="center" vertical="center" wrapText="1"/>
    </xf>
    <xf numFmtId="170" fontId="47" fillId="0" borderId="1" xfId="37" applyNumberFormat="1" applyFont="1" applyFill="1" applyBorder="1" applyAlignment="1">
      <alignment horizontal="center" vertical="center" wrapText="1"/>
      <protection locked="0"/>
    </xf>
    <xf numFmtId="170" fontId="47" fillId="3" borderId="1" xfId="37" applyNumberFormat="1" applyFont="1" applyFill="1" applyBorder="1" applyAlignment="1">
      <alignment horizontal="center" vertical="center" wrapText="1"/>
      <protection locked="0"/>
    </xf>
    <xf numFmtId="4" fontId="37" fillId="0" borderId="1" xfId="30" applyBorder="1">
      <alignment vertical="center" wrapText="1"/>
      <protection locked="0"/>
    </xf>
    <xf numFmtId="170" fontId="46" fillId="0" borderId="1" xfId="43" applyNumberFormat="1" applyFont="1" applyFill="1" applyBorder="1" applyAlignment="1">
      <alignment horizontal="left" vertical="center" wrapText="1"/>
      <protection locked="0"/>
    </xf>
    <xf numFmtId="4" fontId="46" fillId="0" borderId="74" xfId="30" applyFont="1" applyFill="1" applyBorder="1" applyAlignment="1" applyProtection="1">
      <alignment horizontal="center" vertical="center" wrapText="1"/>
    </xf>
    <xf numFmtId="171" fontId="46" fillId="5" borderId="75" xfId="46" applyNumberFormat="1" applyFont="1" applyFill="1" applyBorder="1" applyAlignment="1">
      <alignment vertical="center" wrapText="1"/>
      <protection locked="0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0" fontId="30" fillId="2" borderId="6" xfId="0" applyNumberFormat="1" applyFont="1" applyFill="1" applyBorder="1" applyAlignment="1">
      <alignment horizontal="center" vertical="center"/>
    </xf>
    <xf numFmtId="175" fontId="30" fillId="2" borderId="1" xfId="0" applyNumberFormat="1" applyFont="1" applyFill="1" applyBorder="1" applyAlignment="1">
      <alignment horizontal="center" vertical="center"/>
    </xf>
    <xf numFmtId="175" fontId="30" fillId="2" borderId="3" xfId="0" applyNumberFormat="1" applyFont="1" applyFill="1" applyBorder="1" applyAlignment="1">
      <alignment horizontal="center" vertical="center"/>
    </xf>
    <xf numFmtId="175" fontId="30" fillId="2" borderId="4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0" fillId="3" borderId="0" xfId="0" applyFill="1" applyBorder="1"/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/>
    <xf numFmtId="0" fontId="23" fillId="3" borderId="0" xfId="0" applyFont="1" applyFill="1" applyBorder="1" applyAlignment="1">
      <alignment vertical="center"/>
    </xf>
    <xf numFmtId="0" fontId="23" fillId="3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Fill="1" applyBorder="1" applyAlignment="1">
      <alignment vertical="center" wrapText="1"/>
    </xf>
    <xf numFmtId="0" fontId="1" fillId="0" borderId="0" xfId="0" applyFont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0" fontId="47" fillId="0" borderId="1" xfId="37" applyNumberFormat="1" applyFont="1" applyFill="1" applyBorder="1" applyAlignment="1" applyProtection="1">
      <alignment horizontal="center" vertical="center" wrapText="1"/>
    </xf>
    <xf numFmtId="4" fontId="37" fillId="0" borderId="0" xfId="30" applyProtection="1">
      <alignment vertical="center" wrapText="1"/>
    </xf>
    <xf numFmtId="170" fontId="46" fillId="0" borderId="24" xfId="43" applyNumberFormat="1" applyFont="1" applyFill="1" applyBorder="1" applyAlignment="1" applyProtection="1">
      <alignment horizontal="center" vertical="center" wrapText="1"/>
    </xf>
    <xf numFmtId="170" fontId="46" fillId="0" borderId="4" xfId="43" applyNumberFormat="1" applyFont="1" applyFill="1" applyBorder="1" applyAlignment="1">
      <alignment horizontal="center" vertical="center" wrapText="1"/>
      <protection locked="0"/>
    </xf>
    <xf numFmtId="10" fontId="46" fillId="10" borderId="2" xfId="32" applyNumberFormat="1" applyFont="1" applyFill="1" applyBorder="1" applyAlignment="1">
      <alignment horizontal="center" vertical="center" wrapText="1"/>
      <protection locked="0"/>
    </xf>
    <xf numFmtId="170" fontId="46" fillId="10" borderId="1" xfId="43" applyNumberFormat="1" applyFont="1" applyFill="1" applyBorder="1" applyAlignment="1" applyProtection="1">
      <alignment horizontal="center" vertical="center" wrapText="1"/>
    </xf>
    <xf numFmtId="10" fontId="47" fillId="9" borderId="1" xfId="32" applyNumberFormat="1" applyFont="1" applyFill="1" applyBorder="1" applyAlignment="1">
      <alignment horizontal="center" vertical="center" wrapText="1"/>
      <protection locked="0"/>
    </xf>
    <xf numFmtId="10" fontId="47" fillId="10" borderId="1" xfId="32" applyNumberFormat="1" applyFont="1" applyFill="1" applyBorder="1" applyAlignment="1">
      <alignment horizontal="center" vertical="center" wrapText="1"/>
      <protection locked="0"/>
    </xf>
    <xf numFmtId="4" fontId="46" fillId="10" borderId="3" xfId="30" applyNumberFormat="1" applyFont="1" applyFill="1" applyBorder="1" applyAlignment="1" applyProtection="1">
      <alignment horizontal="center" vertical="center" wrapText="1"/>
    </xf>
    <xf numFmtId="49" fontId="46" fillId="10" borderId="2" xfId="30" applyNumberFormat="1" applyFont="1" applyFill="1" applyBorder="1" applyAlignment="1" applyProtection="1">
      <alignment horizontal="center" vertical="center" wrapText="1"/>
    </xf>
    <xf numFmtId="170" fontId="47" fillId="10" borderId="1" xfId="30" applyNumberFormat="1" applyFont="1" applyFill="1" applyBorder="1" applyAlignment="1" applyProtection="1">
      <alignment horizontal="center" vertical="center" wrapText="1"/>
    </xf>
    <xf numFmtId="0" fontId="46" fillId="10" borderId="2" xfId="30" applyNumberFormat="1" applyFont="1" applyFill="1" applyBorder="1" applyAlignment="1" applyProtection="1">
      <alignment horizontal="center" vertical="center" wrapText="1"/>
    </xf>
    <xf numFmtId="4" fontId="37" fillId="10" borderId="1" xfId="30" applyFill="1" applyBorder="1">
      <alignment vertical="center" wrapText="1"/>
      <protection locked="0"/>
    </xf>
    <xf numFmtId="0" fontId="46" fillId="10" borderId="1" xfId="30" applyNumberFormat="1" applyFont="1" applyFill="1" applyBorder="1" applyAlignment="1" applyProtection="1">
      <alignment vertical="center" wrapText="1"/>
    </xf>
    <xf numFmtId="9" fontId="47" fillId="10" borderId="1" xfId="32" applyFont="1" applyFill="1" applyBorder="1" applyAlignment="1">
      <alignment horizontal="center" vertical="center" wrapText="1"/>
      <protection locked="0"/>
    </xf>
    <xf numFmtId="170" fontId="47" fillId="10" borderId="1" xfId="37" applyNumberFormat="1" applyFont="1" applyFill="1" applyBorder="1" applyAlignment="1">
      <alignment horizontal="center" vertical="center" wrapText="1"/>
      <protection locked="0"/>
    </xf>
    <xf numFmtId="170" fontId="46" fillId="10" borderId="1" xfId="37" applyNumberFormat="1" applyFont="1" applyFill="1" applyBorder="1" applyAlignment="1">
      <alignment horizontal="center" vertical="center" wrapText="1"/>
      <protection locked="0"/>
    </xf>
    <xf numFmtId="170" fontId="46" fillId="3" borderId="1" xfId="43" applyNumberFormat="1" applyFont="1" applyFill="1" applyBorder="1" applyAlignment="1">
      <alignment horizontal="center" vertical="center" wrapText="1"/>
      <protection locked="0"/>
    </xf>
    <xf numFmtId="170" fontId="47" fillId="3" borderId="1" xfId="30" applyNumberFormat="1" applyFont="1" applyFill="1" applyBorder="1" applyAlignment="1" applyProtection="1">
      <alignment horizontal="center" vertical="center" wrapText="1"/>
    </xf>
    <xf numFmtId="4" fontId="46" fillId="3" borderId="3" xfId="30" applyNumberFormat="1" applyFont="1" applyFill="1" applyBorder="1" applyAlignment="1" applyProtection="1">
      <alignment horizontal="center" vertical="center" wrapText="1"/>
    </xf>
    <xf numFmtId="4" fontId="46" fillId="8" borderId="72" xfId="30" applyFont="1" applyFill="1" applyBorder="1" applyAlignment="1" applyProtection="1">
      <alignment horizontal="center" vertical="center" wrapText="1"/>
    </xf>
    <xf numFmtId="171" fontId="46" fillId="13" borderId="73" xfId="46" applyNumberFormat="1" applyFont="1" applyFill="1" applyBorder="1" applyAlignment="1">
      <alignment vertical="center" wrapText="1"/>
      <protection locked="0"/>
    </xf>
    <xf numFmtId="175" fontId="30" fillId="2" borderId="8" xfId="0" applyNumberFormat="1" applyFont="1" applyFill="1" applyBorder="1" applyAlignment="1">
      <alignment horizontal="center" vertical="center"/>
    </xf>
    <xf numFmtId="167" fontId="29" fillId="8" borderId="19" xfId="0" applyNumberFormat="1" applyFont="1" applyFill="1" applyBorder="1" applyAlignment="1">
      <alignment horizontal="center" vertical="center"/>
    </xf>
    <xf numFmtId="167" fontId="29" fillId="8" borderId="31" xfId="0" applyNumberFormat="1" applyFont="1" applyFill="1" applyBorder="1" applyAlignment="1">
      <alignment horizontal="center" vertical="center"/>
    </xf>
    <xf numFmtId="175" fontId="30" fillId="10" borderId="1" xfId="0" applyNumberFormat="1" applyFont="1" applyFill="1" applyBorder="1" applyAlignment="1">
      <alignment horizontal="center" vertical="center"/>
    </xf>
    <xf numFmtId="175" fontId="30" fillId="10" borderId="8" xfId="0" applyNumberFormat="1" applyFont="1" applyFill="1" applyBorder="1" applyAlignment="1">
      <alignment horizontal="center" vertical="center"/>
    </xf>
    <xf numFmtId="175" fontId="30" fillId="10" borderId="3" xfId="0" applyNumberFormat="1" applyFont="1" applyFill="1" applyBorder="1" applyAlignment="1">
      <alignment horizontal="center" vertical="center"/>
    </xf>
    <xf numFmtId="0" fontId="43" fillId="8" borderId="67" xfId="0" applyFont="1" applyFill="1" applyBorder="1" applyAlignment="1">
      <alignment horizontal="left" vertical="top" wrapText="1"/>
    </xf>
    <xf numFmtId="0" fontId="44" fillId="8" borderId="66" xfId="0" applyFont="1" applyFill="1" applyBorder="1" applyAlignment="1">
      <alignment horizontal="left" vertical="top" wrapText="1"/>
    </xf>
    <xf numFmtId="0" fontId="44" fillId="8" borderId="66" xfId="0" applyFont="1" applyFill="1" applyBorder="1" applyAlignment="1">
      <alignment horizontal="center" vertical="top" wrapText="1"/>
    </xf>
    <xf numFmtId="0" fontId="10" fillId="8" borderId="5" xfId="0" applyFont="1" applyFill="1" applyBorder="1"/>
    <xf numFmtId="0" fontId="10" fillId="8" borderId="6" xfId="0" applyFont="1" applyFill="1" applyBorder="1"/>
    <xf numFmtId="0" fontId="10" fillId="8" borderId="7" xfId="0" applyFont="1" applyFill="1" applyBorder="1"/>
    <xf numFmtId="0" fontId="10" fillId="8" borderId="10" xfId="0" applyFont="1" applyFill="1" applyBorder="1"/>
    <xf numFmtId="0" fontId="10" fillId="8" borderId="11" xfId="0" applyFont="1" applyFill="1" applyBorder="1"/>
    <xf numFmtId="0" fontId="50" fillId="0" borderId="0" xfId="0" applyFont="1"/>
    <xf numFmtId="0" fontId="10" fillId="0" borderId="0" xfId="0" applyFont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2" fontId="1" fillId="0" borderId="24" xfId="0" applyNumberFormat="1" applyFont="1" applyBorder="1" applyAlignment="1">
      <alignment horizontal="center" vertical="center"/>
    </xf>
    <xf numFmtId="2" fontId="51" fillId="0" borderId="19" xfId="0" applyNumberFormat="1" applyFont="1" applyBorder="1" applyAlignment="1">
      <alignment vertical="center"/>
    </xf>
    <xf numFmtId="2" fontId="51" fillId="0" borderId="19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39" fillId="3" borderId="66" xfId="0" applyNumberFormat="1" applyFont="1" applyFill="1" applyBorder="1" applyAlignment="1">
      <alignment horizontal="right" vertical="top" wrapText="1"/>
    </xf>
    <xf numFmtId="4" fontId="39" fillId="3" borderId="70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2" fontId="0" fillId="3" borderId="4" xfId="0" applyNumberFormat="1" applyFill="1" applyBorder="1"/>
    <xf numFmtId="0" fontId="50" fillId="7" borderId="1" xfId="0" applyFont="1" applyFill="1" applyBorder="1" applyAlignment="1">
      <alignment horizontal="center" vertical="center"/>
    </xf>
    <xf numFmtId="0" fontId="50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39" fontId="3" fillId="7" borderId="1" xfId="0" applyNumberFormat="1" applyFont="1" applyFill="1" applyBorder="1" applyAlignment="1">
      <alignment horizontal="center" vertical="center"/>
    </xf>
    <xf numFmtId="40" fontId="3" fillId="7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9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1" fontId="4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50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40" fontId="1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40" fontId="2" fillId="7" borderId="1" xfId="0" applyNumberFormat="1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0" fillId="7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39" fontId="1" fillId="7" borderId="1" xfId="0" applyNumberFormat="1" applyFont="1" applyFill="1" applyBorder="1" applyAlignment="1">
      <alignment horizontal="center" vertical="center"/>
    </xf>
    <xf numFmtId="40" fontId="1" fillId="7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39" fontId="2" fillId="7" borderId="1" xfId="0" applyNumberFormat="1" applyFont="1" applyFill="1" applyBorder="1" applyAlignment="1">
      <alignment horizontal="center" vertical="center"/>
    </xf>
    <xf numFmtId="40" fontId="2" fillId="7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40" fontId="2" fillId="0" borderId="1" xfId="0" applyNumberFormat="1" applyFont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9" fontId="7" fillId="7" borderId="1" xfId="0" applyNumberFormat="1" applyFont="1" applyFill="1" applyBorder="1" applyAlignment="1">
      <alignment horizontal="center" vertical="center"/>
    </xf>
    <xf numFmtId="40" fontId="7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vertical="center" wrapText="1"/>
    </xf>
    <xf numFmtId="40" fontId="8" fillId="7" borderId="1" xfId="0" applyNumberFormat="1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vertical="center"/>
    </xf>
    <xf numFmtId="40" fontId="50" fillId="7" borderId="1" xfId="0" applyNumberFormat="1" applyFont="1" applyFill="1" applyBorder="1" applyAlignment="1">
      <alignment vertical="center"/>
    </xf>
    <xf numFmtId="0" fontId="52" fillId="7" borderId="1" xfId="0" applyFont="1" applyFill="1" applyBorder="1" applyAlignment="1">
      <alignment horizontal="center" vertical="center"/>
    </xf>
    <xf numFmtId="40" fontId="52" fillId="7" borderId="1" xfId="0" applyNumberFormat="1" applyFont="1" applyFill="1" applyBorder="1" applyAlignment="1">
      <alignment horizontal="center" vertical="center"/>
    </xf>
    <xf numFmtId="4" fontId="35" fillId="3" borderId="1" xfId="0" applyNumberFormat="1" applyFont="1" applyFill="1" applyBorder="1" applyAlignment="1" applyProtection="1">
      <alignment horizontal="center" vertical="center" wrapText="1"/>
    </xf>
    <xf numFmtId="1" fontId="49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40" fontId="49" fillId="3" borderId="1" xfId="0" applyNumberFormat="1" applyFont="1" applyFill="1" applyBorder="1" applyAlignment="1">
      <alignment vertical="center" wrapText="1"/>
    </xf>
    <xf numFmtId="40" fontId="49" fillId="3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1" fontId="50" fillId="7" borderId="1" xfId="0" applyNumberFormat="1" applyFont="1" applyFill="1" applyBorder="1" applyAlignment="1">
      <alignment horizontal="center" vertical="center"/>
    </xf>
    <xf numFmtId="2" fontId="52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0" fontId="2" fillId="0" borderId="1" xfId="0" applyNumberFormat="1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" fontId="39" fillId="0" borderId="83" xfId="0" applyNumberFormat="1" applyFont="1" applyBorder="1" applyAlignment="1">
      <alignment horizontal="right" vertical="top" wrapText="1"/>
    </xf>
    <xf numFmtId="0" fontId="1" fillId="7" borderId="23" xfId="0" applyFont="1" applyFill="1" applyBorder="1" applyAlignment="1">
      <alignment horizontal="center" vertical="center"/>
    </xf>
    <xf numFmtId="0" fontId="39" fillId="0" borderId="66" xfId="0" applyNumberFormat="1" applyFont="1" applyBorder="1" applyAlignment="1">
      <alignment horizontal="right" vertical="top" wrapText="1"/>
    </xf>
    <xf numFmtId="2" fontId="39" fillId="0" borderId="66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22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6" fillId="12" borderId="1" xfId="3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7" fontId="29" fillId="8" borderId="86" xfId="0" applyNumberFormat="1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vertical="center"/>
    </xf>
    <xf numFmtId="0" fontId="30" fillId="10" borderId="52" xfId="0" applyFont="1" applyFill="1" applyBorder="1" applyAlignment="1">
      <alignment vertical="center"/>
    </xf>
    <xf numFmtId="0" fontId="30" fillId="2" borderId="85" xfId="0" applyFont="1" applyFill="1" applyBorder="1" applyAlignment="1">
      <alignment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41" fillId="0" borderId="12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69" fillId="14" borderId="96" xfId="0" applyFont="1" applyFill="1" applyBorder="1" applyAlignment="1">
      <alignment horizontal="center" vertical="center"/>
    </xf>
    <xf numFmtId="1" fontId="53" fillId="6" borderId="6" xfId="0" applyNumberFormat="1" applyFont="1" applyFill="1" applyBorder="1" applyAlignment="1">
      <alignment horizontal="center" vertical="center"/>
    </xf>
    <xf numFmtId="0" fontId="53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9" fontId="53" fillId="6" borderId="6" xfId="0" applyNumberFormat="1" applyFont="1" applyFill="1" applyBorder="1" applyAlignment="1">
      <alignment horizontal="center" vertical="center"/>
    </xf>
    <xf numFmtId="0" fontId="53" fillId="6" borderId="6" xfId="0" applyFont="1" applyFill="1" applyBorder="1" applyAlignment="1">
      <alignment horizontal="center" vertical="center" wrapText="1"/>
    </xf>
    <xf numFmtId="40" fontId="53" fillId="6" borderId="6" xfId="0" applyNumberFormat="1" applyFont="1" applyFill="1" applyBorder="1" applyAlignment="1">
      <alignment horizontal="center" vertical="center"/>
    </xf>
    <xf numFmtId="0" fontId="67" fillId="0" borderId="12" xfId="0" applyFont="1" applyFill="1" applyBorder="1" applyAlignment="1">
      <alignment vertical="center"/>
    </xf>
    <xf numFmtId="0" fontId="67" fillId="0" borderId="14" xfId="0" applyFont="1" applyFill="1" applyBorder="1" applyAlignment="1">
      <alignment vertical="center"/>
    </xf>
    <xf numFmtId="0" fontId="67" fillId="0" borderId="16" xfId="0" applyFont="1" applyFill="1" applyBorder="1" applyAlignment="1">
      <alignment vertical="center"/>
    </xf>
    <xf numFmtId="0" fontId="42" fillId="0" borderId="1" xfId="0" applyFont="1" applyFill="1" applyBorder="1" applyAlignment="1">
      <alignment vertical="center"/>
    </xf>
    <xf numFmtId="2" fontId="10" fillId="3" borderId="2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0" fillId="0" borderId="93" xfId="0" applyFont="1" applyBorder="1" applyAlignment="1">
      <alignment horizontal="center" vertical="center"/>
    </xf>
    <xf numFmtId="17" fontId="60" fillId="0" borderId="94" xfId="0" applyNumberFormat="1" applyFont="1" applyBorder="1" applyAlignment="1">
      <alignment horizontal="center" vertical="center"/>
    </xf>
    <xf numFmtId="10" fontId="30" fillId="2" borderId="32" xfId="0" applyNumberFormat="1" applyFont="1" applyFill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1" fillId="0" borderId="33" xfId="0" applyFont="1" applyBorder="1" applyAlignment="1">
      <alignment vertical="center"/>
    </xf>
    <xf numFmtId="10" fontId="13" fillId="0" borderId="109" xfId="14" applyNumberFormat="1" applyFont="1" applyBorder="1" applyAlignment="1">
      <alignment horizontal="center" vertical="center" wrapText="1"/>
    </xf>
    <xf numFmtId="10" fontId="13" fillId="0" borderId="112" xfId="14" applyNumberFormat="1" applyFont="1" applyBorder="1" applyAlignment="1">
      <alignment horizontal="center" vertical="center" wrapText="1"/>
    </xf>
    <xf numFmtId="0" fontId="16" fillId="0" borderId="114" xfId="14" applyNumberFormat="1" applyFont="1" applyBorder="1" applyAlignment="1">
      <alignment horizontal="center" vertical="center" wrapText="1"/>
    </xf>
    <xf numFmtId="168" fontId="35" fillId="7" borderId="124" xfId="14" applyNumberFormat="1" applyFont="1" applyFill="1" applyBorder="1" applyAlignment="1">
      <alignment horizontal="center" vertical="center"/>
    </xf>
    <xf numFmtId="4" fontId="48" fillId="3" borderId="0" xfId="30" applyFont="1" applyFill="1" applyBorder="1">
      <alignment vertical="center" wrapText="1"/>
      <protection locked="0"/>
    </xf>
    <xf numFmtId="0" fontId="10" fillId="3" borderId="0" xfId="0" applyFont="1" applyFill="1" applyBorder="1" applyAlignment="1">
      <alignment horizontal="left"/>
    </xf>
    <xf numFmtId="175" fontId="3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0" fillId="2" borderId="0" xfId="0" applyNumberFormat="1" applyFill="1" applyBorder="1"/>
    <xf numFmtId="0" fontId="2" fillId="3" borderId="0" xfId="0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4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6" fillId="12" borderId="1" xfId="30" applyNumberFormat="1" applyFont="1" applyFill="1" applyBorder="1" applyAlignment="1" applyProtection="1">
      <alignment horizontal="center" vertical="center" wrapText="1"/>
    </xf>
    <xf numFmtId="22" fontId="60" fillId="0" borderId="13" xfId="0" applyNumberFormat="1" applyFont="1" applyBorder="1" applyAlignment="1">
      <alignment horizontal="left" vertical="center"/>
    </xf>
    <xf numFmtId="0" fontId="0" fillId="2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/>
    </xf>
    <xf numFmtId="167" fontId="29" fillId="8" borderId="54" xfId="0" applyNumberFormat="1" applyFont="1" applyFill="1" applyBorder="1" applyAlignment="1">
      <alignment horizontal="center" vertical="center"/>
    </xf>
    <xf numFmtId="175" fontId="30" fillId="10" borderId="53" xfId="0" applyNumberFormat="1" applyFont="1" applyFill="1" applyBorder="1" applyAlignment="1">
      <alignment horizontal="center" vertical="center"/>
    </xf>
    <xf numFmtId="0" fontId="46" fillId="0" borderId="34" xfId="30" applyNumberFormat="1" applyFont="1" applyFill="1" applyBorder="1" applyAlignment="1" applyProtection="1">
      <alignment horizontal="center" vertical="center" wrapText="1"/>
    </xf>
    <xf numFmtId="170" fontId="46" fillId="0" borderId="27" xfId="43" applyNumberFormat="1" applyFont="1" applyFill="1" applyBorder="1" applyAlignment="1">
      <alignment horizontal="left" vertical="center" wrapText="1"/>
      <protection locked="0"/>
    </xf>
    <xf numFmtId="170" fontId="47" fillId="0" borderId="27" xfId="37" applyNumberFormat="1" applyFont="1" applyFill="1" applyBorder="1" applyAlignment="1" applyProtection="1">
      <alignment horizontal="center" vertical="center" wrapText="1"/>
    </xf>
    <xf numFmtId="170" fontId="46" fillId="8" borderId="6" xfId="43" applyNumberFormat="1" applyFont="1" applyFill="1" applyBorder="1" applyAlignment="1" applyProtection="1">
      <alignment horizontal="center" vertical="center" wrapText="1"/>
    </xf>
    <xf numFmtId="2" fontId="37" fillId="0" borderId="19" xfId="30" applyNumberFormat="1" applyFill="1" applyBorder="1" applyAlignment="1">
      <alignment vertical="center" wrapText="1"/>
      <protection locked="0"/>
    </xf>
    <xf numFmtId="2" fontId="46" fillId="0" borderId="19" xfId="43" applyNumberFormat="1" applyFont="1" applyFill="1" applyBorder="1" applyAlignment="1">
      <alignment horizontal="left" vertical="center" wrapText="1"/>
      <protection locked="0"/>
    </xf>
    <xf numFmtId="2" fontId="47" fillId="0" borderId="19" xfId="37" applyNumberFormat="1" applyFont="1" applyFill="1" applyBorder="1" applyAlignment="1">
      <alignment horizontal="center" vertical="center" wrapText="1"/>
      <protection locked="0"/>
    </xf>
    <xf numFmtId="171" fontId="46" fillId="5" borderId="20" xfId="46" applyNumberFormat="1" applyFont="1" applyFill="1" applyBorder="1" applyAlignment="1" applyProtection="1">
      <alignment horizontal="center" vertical="center" wrapText="1"/>
    </xf>
    <xf numFmtId="4" fontId="46" fillId="0" borderId="35" xfId="30" applyNumberFormat="1" applyFont="1" applyBorder="1" applyAlignment="1" applyProtection="1">
      <alignment horizontal="center" vertical="center" wrapText="1"/>
    </xf>
    <xf numFmtId="4" fontId="37" fillId="8" borderId="32" xfId="30" applyFill="1" applyBorder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2" fillId="3" borderId="1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0" borderId="17" xfId="0" applyFont="1" applyBorder="1"/>
    <xf numFmtId="0" fontId="0" fillId="0" borderId="17" xfId="0" applyBorder="1"/>
    <xf numFmtId="0" fontId="10" fillId="7" borderId="18" xfId="0" applyFont="1" applyFill="1" applyBorder="1" applyAlignment="1">
      <alignment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44" fillId="4" borderId="10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right" vertical="center" wrapText="1"/>
    </xf>
    <xf numFmtId="2" fontId="44" fillId="0" borderId="1" xfId="0" applyNumberFormat="1" applyFont="1" applyFill="1" applyBorder="1" applyAlignment="1">
      <alignment horizontal="right" vertical="center" wrapText="1"/>
    </xf>
    <xf numFmtId="2" fontId="44" fillId="3" borderId="3" xfId="0" applyNumberFormat="1" applyFont="1" applyFill="1" applyBorder="1" applyAlignment="1">
      <alignment horizontal="right" vertical="center" wrapText="1"/>
    </xf>
    <xf numFmtId="0" fontId="39" fillId="0" borderId="2" xfId="0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horizontal="right" vertical="center"/>
    </xf>
    <xf numFmtId="2" fontId="39" fillId="10" borderId="1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vertical="center"/>
    </xf>
    <xf numFmtId="0" fontId="39" fillId="0" borderId="2" xfId="0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right" vertical="center" wrapText="1"/>
    </xf>
    <xf numFmtId="2" fontId="39" fillId="10" borderId="1" xfId="0" applyNumberFormat="1" applyFont="1" applyFill="1" applyBorder="1" applyAlignment="1">
      <alignment horizontal="right" vertical="center" wrapText="1"/>
    </xf>
    <xf numFmtId="0" fontId="39" fillId="0" borderId="23" xfId="0" applyFont="1" applyFill="1" applyBorder="1" applyAlignment="1">
      <alignment horizontal="right" vertical="center" wrapText="1"/>
    </xf>
    <xf numFmtId="0" fontId="39" fillId="0" borderId="24" xfId="0" applyFont="1" applyFill="1" applyBorder="1" applyAlignment="1">
      <alignment horizontal="left" vertical="center" wrapText="1"/>
    </xf>
    <xf numFmtId="0" fontId="39" fillId="0" borderId="24" xfId="0" applyFont="1" applyFill="1" applyBorder="1" applyAlignment="1">
      <alignment horizontal="center" vertical="center" wrapText="1"/>
    </xf>
    <xf numFmtId="4" fontId="39" fillId="0" borderId="24" xfId="0" applyNumberFormat="1" applyFont="1" applyFill="1" applyBorder="1" applyAlignment="1">
      <alignment horizontal="right" vertical="center" wrapText="1"/>
    </xf>
    <xf numFmtId="2" fontId="39" fillId="10" borderId="24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vertical="center" wrapText="1"/>
    </xf>
    <xf numFmtId="0" fontId="0" fillId="7" borderId="18" xfId="0" applyFill="1" applyBorder="1" applyAlignment="1">
      <alignment vertical="center"/>
    </xf>
    <xf numFmtId="0" fontId="4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vertical="center"/>
    </xf>
    <xf numFmtId="2" fontId="44" fillId="3" borderId="1" xfId="0" applyNumberFormat="1" applyFont="1" applyFill="1" applyBorder="1" applyAlignment="1">
      <alignment horizontal="right" vertical="center" wrapText="1"/>
    </xf>
    <xf numFmtId="0" fontId="39" fillId="0" borderId="2" xfId="0" applyFont="1" applyBorder="1" applyAlignment="1">
      <alignment horizontal="right" vertical="center" wrapText="1"/>
    </xf>
    <xf numFmtId="0" fontId="39" fillId="0" borderId="1" xfId="0" applyFont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right" vertical="center" wrapText="1"/>
    </xf>
    <xf numFmtId="0" fontId="39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39" fillId="0" borderId="27" xfId="0" applyFont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2" fontId="0" fillId="0" borderId="35" xfId="0" applyNumberFormat="1" applyFill="1" applyBorder="1" applyAlignment="1">
      <alignment vertical="center"/>
    </xf>
    <xf numFmtId="0" fontId="43" fillId="0" borderId="2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2" fontId="39" fillId="0" borderId="4" xfId="0" applyNumberFormat="1" applyFont="1" applyFill="1" applyBorder="1" applyAlignment="1">
      <alignment horizontal="right" vertical="center" wrapText="1"/>
    </xf>
    <xf numFmtId="0" fontId="39" fillId="3" borderId="1" xfId="0" applyFont="1" applyFill="1" applyBorder="1" applyAlignment="1">
      <alignment horizontal="center" vertical="center" wrapText="1"/>
    </xf>
    <xf numFmtId="2" fontId="39" fillId="3" borderId="3" xfId="0" applyNumberFormat="1" applyFont="1" applyFill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3" borderId="24" xfId="0" applyFont="1" applyFill="1" applyBorder="1" applyAlignment="1">
      <alignment horizontal="center" vertical="center" wrapText="1"/>
    </xf>
    <xf numFmtId="2" fontId="39" fillId="3" borderId="4" xfId="0" applyNumberFormat="1" applyFont="1" applyFill="1" applyBorder="1" applyAlignment="1">
      <alignment horizontal="right" vertical="center" wrapText="1"/>
    </xf>
    <xf numFmtId="4" fontId="39" fillId="0" borderId="1" xfId="0" applyNumberFormat="1" applyFont="1" applyBorder="1" applyAlignment="1">
      <alignment horizontal="righ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right" vertical="center" wrapText="1"/>
    </xf>
    <xf numFmtId="12" fontId="0" fillId="0" borderId="0" xfId="0" applyNumberFormat="1" applyAlignment="1">
      <alignment vertical="center"/>
    </xf>
    <xf numFmtId="0" fontId="39" fillId="3" borderId="80" xfId="0" applyFont="1" applyFill="1" applyBorder="1" applyAlignment="1">
      <alignment horizontal="right" vertical="center" wrapText="1"/>
    </xf>
    <xf numFmtId="0" fontId="39" fillId="3" borderId="25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center" vertical="center" wrapText="1"/>
    </xf>
    <xf numFmtId="4" fontId="39" fillId="0" borderId="25" xfId="0" applyNumberFormat="1" applyFont="1" applyFill="1" applyBorder="1" applyAlignment="1">
      <alignment horizontal="right" vertical="center" wrapText="1"/>
    </xf>
    <xf numFmtId="2" fontId="39" fillId="10" borderId="25" xfId="0" applyNumberFormat="1" applyFont="1" applyFill="1" applyBorder="1" applyAlignment="1">
      <alignment horizontal="right" vertical="center" wrapText="1"/>
    </xf>
    <xf numFmtId="2" fontId="39" fillId="3" borderId="26" xfId="0" applyNumberFormat="1" applyFont="1" applyFill="1" applyBorder="1" applyAlignment="1">
      <alignment horizontal="right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vertical="center"/>
    </xf>
    <xf numFmtId="0" fontId="4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2" fontId="0" fillId="10" borderId="1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39" fillId="3" borderId="24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0" fillId="0" borderId="24" xfId="0" applyFill="1" applyBorder="1" applyAlignment="1">
      <alignment horizontal="right" vertical="center"/>
    </xf>
    <xf numFmtId="2" fontId="0" fillId="10" borderId="24" xfId="0" applyNumberFormat="1" applyFill="1" applyBorder="1" applyAlignment="1">
      <alignment horizontal="right" vertical="center"/>
    </xf>
    <xf numFmtId="2" fontId="0" fillId="3" borderId="4" xfId="0" applyNumberForma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0" fillId="3" borderId="3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2" fontId="0" fillId="0" borderId="27" xfId="0" applyNumberFormat="1" applyFill="1" applyBorder="1" applyAlignment="1">
      <alignment vertical="center"/>
    </xf>
    <xf numFmtId="2" fontId="0" fillId="3" borderId="35" xfId="0" applyNumberFormat="1" applyFill="1" applyBorder="1" applyAlignment="1">
      <alignment vertical="center"/>
    </xf>
    <xf numFmtId="0" fontId="39" fillId="3" borderId="27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>
      <alignment vertical="center"/>
    </xf>
    <xf numFmtId="2" fontId="0" fillId="10" borderId="24" xfId="0" applyNumberFormat="1" applyFill="1" applyBorder="1" applyAlignment="1">
      <alignment vertical="center"/>
    </xf>
    <xf numFmtId="2" fontId="0" fillId="3" borderId="4" xfId="0" applyNumberFormat="1" applyFill="1" applyBorder="1" applyAlignment="1">
      <alignment vertical="center"/>
    </xf>
    <xf numFmtId="0" fontId="0" fillId="7" borderId="18" xfId="0" applyFill="1" applyBorder="1" applyAlignment="1">
      <alignment horizontal="right" vertical="center"/>
    </xf>
    <xf numFmtId="0" fontId="44" fillId="7" borderId="19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2" fontId="4" fillId="10" borderId="1" xfId="0" applyNumberFormat="1" applyFont="1" applyFill="1" applyBorder="1" applyAlignment="1">
      <alignment vertical="center"/>
    </xf>
    <xf numFmtId="2" fontId="0" fillId="3" borderId="3" xfId="0" applyNumberFormat="1" applyFill="1" applyBorder="1" applyAlignment="1">
      <alignment vertical="center" wrapText="1"/>
    </xf>
    <xf numFmtId="0" fontId="0" fillId="0" borderId="23" xfId="0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2" fontId="4" fillId="10" borderId="24" xfId="0" applyNumberFormat="1" applyFont="1" applyFill="1" applyBorder="1" applyAlignment="1">
      <alignment vertical="center"/>
    </xf>
    <xf numFmtId="2" fontId="0" fillId="3" borderId="4" xfId="0" applyNumberFormat="1" applyFill="1" applyBorder="1" applyAlignment="1">
      <alignment vertical="center" wrapText="1"/>
    </xf>
    <xf numFmtId="0" fontId="4" fillId="7" borderId="12" xfId="0" applyFont="1" applyFill="1" applyBorder="1" applyAlignment="1">
      <alignment horizontal="right" vertical="center"/>
    </xf>
    <xf numFmtId="0" fontId="44" fillId="7" borderId="13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33" xfId="0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2" fontId="0" fillId="3" borderId="1" xfId="0" applyNumberForma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2" fontId="4" fillId="10" borderId="25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9" fillId="3" borderId="1" xfId="0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right" vertical="center"/>
    </xf>
    <xf numFmtId="0" fontId="0" fillId="0" borderId="24" xfId="0" applyFill="1" applyBorder="1" applyAlignment="1">
      <alignment vertical="center"/>
    </xf>
    <xf numFmtId="2" fontId="0" fillId="3" borderId="1" xfId="0" applyNumberFormat="1" applyFill="1" applyBorder="1" applyAlignment="1">
      <alignment horizontal="right" vertical="center"/>
    </xf>
    <xf numFmtId="2" fontId="0" fillId="0" borderId="3" xfId="0" applyNumberForma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2" fontId="0" fillId="0" borderId="1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9" fillId="3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4" fontId="44" fillId="0" borderId="0" xfId="0" applyNumberFormat="1" applyFont="1" applyFill="1" applyBorder="1" applyAlignment="1">
      <alignment horizontal="center" vertical="center" wrapText="1"/>
    </xf>
    <xf numFmtId="4" fontId="44" fillId="0" borderId="0" xfId="0" applyNumberFormat="1" applyFont="1" applyFill="1" applyBorder="1" applyAlignment="1">
      <alignment horizontal="justify" vertical="center"/>
    </xf>
    <xf numFmtId="4" fontId="44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9" fillId="0" borderId="66" xfId="0" applyFont="1" applyBorder="1" applyAlignment="1">
      <alignment horizontal="left" vertical="center" wrapText="1"/>
    </xf>
    <xf numFmtId="0" fontId="44" fillId="8" borderId="66" xfId="0" applyFont="1" applyFill="1" applyBorder="1" applyAlignment="1">
      <alignment horizontal="center" vertical="center" wrapText="1"/>
    </xf>
    <xf numFmtId="4" fontId="44" fillId="8" borderId="66" xfId="0" applyNumberFormat="1" applyFont="1" applyFill="1" applyBorder="1" applyAlignment="1">
      <alignment horizontal="right" vertical="center" wrapText="1"/>
    </xf>
    <xf numFmtId="4" fontId="44" fillId="8" borderId="68" xfId="0" applyNumberFormat="1" applyFont="1" applyFill="1" applyBorder="1" applyAlignment="1">
      <alignment horizontal="right" vertical="center" wrapText="1"/>
    </xf>
    <xf numFmtId="49" fontId="39" fillId="0" borderId="66" xfId="0" applyNumberFormat="1" applyFont="1" applyBorder="1" applyAlignment="1">
      <alignment horizontal="center" vertical="top" wrapText="1"/>
    </xf>
    <xf numFmtId="0" fontId="2" fillId="3" borderId="1" xfId="7" applyNumberFormat="1" applyFont="1" applyFill="1" applyBorder="1" applyAlignment="1">
      <alignment vertical="center"/>
    </xf>
    <xf numFmtId="1" fontId="53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vertical="center"/>
    </xf>
    <xf numFmtId="1" fontId="72" fillId="7" borderId="1" xfId="0" applyNumberFormat="1" applyFont="1" applyFill="1" applyBorder="1" applyAlignment="1">
      <alignment vertical="center"/>
    </xf>
    <xf numFmtId="1" fontId="72" fillId="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8" fillId="7" borderId="1" xfId="0" applyFont="1" applyFill="1" applyBorder="1" applyAlignment="1">
      <alignment horizontal="left" vertical="center" wrapText="1"/>
    </xf>
    <xf numFmtId="40" fontId="2" fillId="3" borderId="1" xfId="0" applyNumberFormat="1" applyFont="1" applyFill="1" applyBorder="1" applyAlignment="1">
      <alignment horizontal="left" vertical="center" wrapText="1"/>
    </xf>
    <xf numFmtId="40" fontId="8" fillId="7" borderId="1" xfId="0" applyNumberFormat="1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40" fontId="8" fillId="7" borderId="1" xfId="0" applyNumberFormat="1" applyFont="1" applyFill="1" applyBorder="1" applyAlignment="1">
      <alignment horizontal="left" vertical="center"/>
    </xf>
    <xf numFmtId="40" fontId="2" fillId="3" borderId="1" xfId="0" applyNumberFormat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50" fillId="7" borderId="1" xfId="0" applyFont="1" applyFill="1" applyBorder="1" applyAlignment="1">
      <alignment horizontal="left" vertical="center" wrapText="1"/>
    </xf>
    <xf numFmtId="1" fontId="2" fillId="3" borderId="127" xfId="0" applyNumberFormat="1" applyFont="1" applyFill="1" applyBorder="1" applyAlignment="1">
      <alignment vertical="center"/>
    </xf>
    <xf numFmtId="0" fontId="0" fillId="3" borderId="127" xfId="0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165" fontId="0" fillId="0" borderId="0" xfId="7" applyFont="1" applyAlignment="1">
      <alignment vertical="center"/>
    </xf>
    <xf numFmtId="0" fontId="63" fillId="3" borderId="18" xfId="0" applyFont="1" applyFill="1" applyBorder="1" applyAlignment="1">
      <alignment horizontal="center" vertical="center"/>
    </xf>
    <xf numFmtId="0" fontId="63" fillId="3" borderId="19" xfId="0" applyFont="1" applyFill="1" applyBorder="1" applyAlignment="1">
      <alignment horizontal="center" vertical="center"/>
    </xf>
    <xf numFmtId="0" fontId="63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4" fillId="0" borderId="12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17" fontId="64" fillId="0" borderId="14" xfId="0" applyNumberFormat="1" applyFont="1" applyFill="1" applyBorder="1" applyAlignment="1">
      <alignment horizontal="center" vertical="center"/>
    </xf>
    <xf numFmtId="17" fontId="64" fillId="0" borderId="15" xfId="0" applyNumberFormat="1" applyFont="1" applyFill="1" applyBorder="1" applyAlignment="1">
      <alignment horizontal="center" vertical="center"/>
    </xf>
    <xf numFmtId="0" fontId="69" fillId="14" borderId="16" xfId="0" applyFont="1" applyFill="1" applyBorder="1" applyAlignment="1">
      <alignment horizontal="center" vertical="center"/>
    </xf>
    <xf numFmtId="0" fontId="69" fillId="14" borderId="28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5" xfId="0" applyFont="1" applyFill="1" applyBorder="1" applyAlignment="1">
      <alignment horizontal="left" vertical="center"/>
    </xf>
    <xf numFmtId="22" fontId="64" fillId="0" borderId="13" xfId="0" applyNumberFormat="1" applyFont="1" applyFill="1" applyBorder="1" applyAlignment="1">
      <alignment horizontal="left" vertical="center"/>
    </xf>
    <xf numFmtId="0" fontId="64" fillId="0" borderId="0" xfId="0" applyFont="1" applyFill="1" applyBorder="1" applyAlignment="1">
      <alignment horizontal="left" vertical="center"/>
    </xf>
    <xf numFmtId="0" fontId="64" fillId="0" borderId="15" xfId="0" applyFont="1" applyFill="1" applyBorder="1" applyAlignment="1">
      <alignment horizontal="left" vertical="center"/>
    </xf>
    <xf numFmtId="0" fontId="64" fillId="0" borderId="17" xfId="0" applyFont="1" applyFill="1" applyBorder="1" applyAlignment="1">
      <alignment horizontal="left" vertical="center"/>
    </xf>
    <xf numFmtId="0" fontId="64" fillId="0" borderId="28" xfId="0" applyFont="1" applyFill="1" applyBorder="1" applyAlignment="1">
      <alignment horizontal="left" vertical="center"/>
    </xf>
    <xf numFmtId="0" fontId="71" fillId="0" borderId="93" xfId="0" applyFont="1" applyFill="1" applyBorder="1" applyAlignment="1">
      <alignment horizontal="center" vertical="center"/>
    </xf>
    <xf numFmtId="0" fontId="71" fillId="0" borderId="94" xfId="0" applyFont="1" applyFill="1" applyBorder="1" applyAlignment="1">
      <alignment horizontal="center" vertical="center"/>
    </xf>
    <xf numFmtId="0" fontId="71" fillId="0" borderId="96" xfId="0" applyFont="1" applyFill="1" applyBorder="1" applyAlignment="1">
      <alignment horizontal="center" vertical="center"/>
    </xf>
    <xf numFmtId="0" fontId="65" fillId="0" borderId="12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center" vertical="center"/>
    </xf>
    <xf numFmtId="0" fontId="65" fillId="0" borderId="33" xfId="0" applyFont="1" applyFill="1" applyBorder="1" applyAlignment="1">
      <alignment horizontal="center" vertical="center"/>
    </xf>
    <xf numFmtId="0" fontId="66" fillId="0" borderId="14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center" vertical="center"/>
    </xf>
    <xf numFmtId="0" fontId="64" fillId="0" borderId="16" xfId="0" applyFont="1" applyFill="1" applyBorder="1" applyAlignment="1">
      <alignment horizontal="center" vertical="center"/>
    </xf>
    <xf numFmtId="0" fontId="64" fillId="0" borderId="17" xfId="0" applyFont="1" applyFill="1" applyBorder="1" applyAlignment="1">
      <alignment horizontal="center" vertical="center"/>
    </xf>
    <xf numFmtId="0" fontId="64" fillId="0" borderId="28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right" vertical="center"/>
    </xf>
    <xf numFmtId="40" fontId="22" fillId="8" borderId="1" xfId="0" applyNumberFormat="1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164" fontId="9" fillId="8" borderId="27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33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" fontId="0" fillId="0" borderId="14" xfId="0" applyNumberFormat="1" applyBorder="1" applyAlignment="1">
      <alignment horizontal="center" vertical="center"/>
    </xf>
    <xf numFmtId="17" fontId="0" fillId="0" borderId="15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0" fontId="2" fillId="8" borderId="1" xfId="0" applyNumberFormat="1" applyFont="1" applyFill="1" applyBorder="1" applyAlignment="1">
      <alignment horizontal="center"/>
    </xf>
    <xf numFmtId="4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0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7" borderId="6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56" xfId="0" applyNumberFormat="1" applyFont="1" applyFill="1" applyBorder="1" applyAlignment="1">
      <alignment horizontal="center" vertical="center"/>
    </xf>
    <xf numFmtId="0" fontId="68" fillId="0" borderId="18" xfId="0" applyFont="1" applyFill="1" applyBorder="1" applyAlignment="1">
      <alignment horizontal="center" vertical="center"/>
    </xf>
    <xf numFmtId="0" fontId="68" fillId="0" borderId="19" xfId="0" applyFont="1" applyFill="1" applyBorder="1" applyAlignment="1">
      <alignment horizontal="center" vertical="center"/>
    </xf>
    <xf numFmtId="0" fontId="68" fillId="0" borderId="20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1" fillId="0" borderId="22" xfId="0" applyNumberFormat="1" applyFont="1" applyFill="1" applyBorder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11" borderId="30" xfId="0" applyFont="1" applyFill="1" applyBorder="1" applyAlignment="1">
      <alignment horizontal="center" vertical="center"/>
    </xf>
    <xf numFmtId="0" fontId="10" fillId="11" borderId="54" xfId="0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 vertical="center"/>
    </xf>
    <xf numFmtId="0" fontId="10" fillId="11" borderId="30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4" fillId="11" borderId="18" xfId="0" applyFont="1" applyFill="1" applyBorder="1" applyAlignment="1">
      <alignment horizontal="center" vertical="center" wrapText="1"/>
    </xf>
    <xf numFmtId="0" fontId="44" fillId="11" borderId="19" xfId="0" applyFont="1" applyFill="1" applyBorder="1" applyAlignment="1">
      <alignment horizontal="center" vertical="center" wrapText="1"/>
    </xf>
    <xf numFmtId="0" fontId="44" fillId="11" borderId="20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53" xfId="0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2" fontId="1" fillId="3" borderId="52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3" borderId="57" xfId="0" applyNumberFormat="1" applyFont="1" applyFill="1" applyBorder="1" applyAlignment="1">
      <alignment horizontal="center" vertical="center" wrapText="1"/>
    </xf>
    <xf numFmtId="2" fontId="1" fillId="3" borderId="58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60" xfId="0" applyNumberFormat="1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3" borderId="59" xfId="0" applyNumberFormat="1" applyFont="1" applyFill="1" applyBorder="1" applyAlignment="1">
      <alignment horizontal="center" vertical="center" wrapText="1"/>
    </xf>
    <xf numFmtId="2" fontId="1" fillId="3" borderId="28" xfId="0" applyNumberFormat="1" applyFont="1" applyFill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61" xfId="0" applyNumberFormat="1" applyFont="1" applyBorder="1" applyAlignment="1">
      <alignment horizontal="center" vertical="center"/>
    </xf>
    <xf numFmtId="2" fontId="1" fillId="3" borderId="98" xfId="0" applyNumberFormat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0" borderId="55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6" xfId="0" applyBorder="1" applyAlignment="1">
      <alignment horizontal="center"/>
    </xf>
    <xf numFmtId="0" fontId="10" fillId="11" borderId="89" xfId="0" applyFont="1" applyFill="1" applyBorder="1" applyAlignment="1">
      <alignment horizontal="center" vertical="center"/>
    </xf>
    <xf numFmtId="0" fontId="10" fillId="11" borderId="128" xfId="0" applyFont="1" applyFill="1" applyBorder="1" applyAlignment="1">
      <alignment horizontal="center" vertical="center"/>
    </xf>
    <xf numFmtId="0" fontId="10" fillId="11" borderId="60" xfId="0" applyFont="1" applyFill="1" applyBorder="1" applyAlignment="1">
      <alignment horizontal="center" vertical="center"/>
    </xf>
    <xf numFmtId="0" fontId="10" fillId="11" borderId="62" xfId="0" applyFont="1" applyFill="1" applyBorder="1" applyAlignment="1">
      <alignment horizontal="center" vertical="center"/>
    </xf>
    <xf numFmtId="0" fontId="10" fillId="11" borderId="63" xfId="0" applyFont="1" applyFill="1" applyBorder="1" applyAlignment="1">
      <alignment horizontal="center" vertical="center"/>
    </xf>
    <xf numFmtId="0" fontId="10" fillId="11" borderId="6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170" fontId="46" fillId="12" borderId="8" xfId="46" applyNumberFormat="1" applyFont="1" applyFill="1" applyBorder="1" applyAlignment="1">
      <alignment horizontal="center" vertical="center" wrapText="1"/>
      <protection locked="0"/>
    </xf>
    <xf numFmtId="170" fontId="46" fillId="12" borderId="52" xfId="46" applyNumberFormat="1" applyFont="1" applyFill="1" applyBorder="1" applyAlignment="1">
      <alignment horizontal="center" vertical="center" wrapText="1"/>
      <protection locked="0"/>
    </xf>
    <xf numFmtId="171" fontId="46" fillId="13" borderId="7" xfId="46" applyNumberFormat="1" applyFont="1" applyFill="1" applyBorder="1" applyAlignment="1" applyProtection="1">
      <alignment horizontal="center" vertical="center" wrapText="1"/>
    </xf>
    <xf numFmtId="171" fontId="46" fillId="13" borderId="85" xfId="46" applyNumberFormat="1" applyFont="1" applyFill="1" applyBorder="1" applyAlignment="1" applyProtection="1">
      <alignment horizontal="center" vertical="center" wrapText="1"/>
    </xf>
    <xf numFmtId="170" fontId="46" fillId="0" borderId="9" xfId="43" applyNumberFormat="1" applyFont="1" applyFill="1" applyBorder="1" applyAlignment="1" applyProtection="1">
      <alignment horizontal="center" vertical="center" wrapText="1"/>
    </xf>
    <xf numFmtId="170" fontId="46" fillId="0" borderId="56" xfId="43" applyNumberFormat="1" applyFont="1" applyFill="1" applyBorder="1" applyAlignment="1" applyProtection="1">
      <alignment horizontal="center" vertical="center" wrapText="1"/>
    </xf>
    <xf numFmtId="171" fontId="46" fillId="13" borderId="11" xfId="46" applyNumberFormat="1" applyFont="1" applyFill="1" applyBorder="1" applyAlignment="1" applyProtection="1">
      <alignment horizontal="center" vertical="center" wrapText="1"/>
    </xf>
    <xf numFmtId="171" fontId="46" fillId="13" borderId="81" xfId="46" applyNumberFormat="1" applyFont="1" applyFill="1" applyBorder="1" applyAlignment="1" applyProtection="1">
      <alignment horizontal="center" vertical="center" wrapText="1"/>
    </xf>
    <xf numFmtId="171" fontId="46" fillId="5" borderId="9" xfId="46" applyNumberFormat="1" applyFont="1" applyFill="1" applyBorder="1" applyAlignment="1" applyProtection="1">
      <alignment horizontal="center" vertical="center" wrapText="1"/>
    </xf>
    <xf numFmtId="171" fontId="46" fillId="5" borderId="56" xfId="46" applyNumberFormat="1" applyFont="1" applyFill="1" applyBorder="1" applyAlignment="1" applyProtection="1">
      <alignment horizontal="center" vertical="center" wrapText="1"/>
    </xf>
    <xf numFmtId="0" fontId="63" fillId="2" borderId="18" xfId="0" applyFont="1" applyFill="1" applyBorder="1" applyAlignment="1">
      <alignment horizontal="center" vertical="center"/>
    </xf>
    <xf numFmtId="0" fontId="63" fillId="2" borderId="19" xfId="0" applyFont="1" applyFill="1" applyBorder="1" applyAlignment="1">
      <alignment horizontal="center" vertical="center"/>
    </xf>
    <xf numFmtId="0" fontId="63" fillId="2" borderId="20" xfId="0" applyFont="1" applyFill="1" applyBorder="1" applyAlignment="1">
      <alignment horizontal="center" vertical="center"/>
    </xf>
    <xf numFmtId="0" fontId="67" fillId="0" borderId="14" xfId="0" applyFont="1" applyFill="1" applyBorder="1" applyAlignment="1">
      <alignment horizontal="left" vertical="center"/>
    </xf>
    <xf numFmtId="0" fontId="67" fillId="0" borderId="16" xfId="0" applyFont="1" applyFill="1" applyBorder="1" applyAlignment="1">
      <alignment horizontal="left" vertical="center"/>
    </xf>
    <xf numFmtId="0" fontId="67" fillId="0" borderId="17" xfId="0" applyFont="1" applyFill="1" applyBorder="1" applyAlignment="1">
      <alignment horizontal="left" vertical="center"/>
    </xf>
    <xf numFmtId="0" fontId="67" fillId="0" borderId="12" xfId="0" applyFont="1" applyFill="1" applyBorder="1" applyAlignment="1">
      <alignment horizontal="left" vertical="center"/>
    </xf>
    <xf numFmtId="0" fontId="67" fillId="0" borderId="13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center" vertical="center"/>
    </xf>
    <xf numFmtId="0" fontId="67" fillId="0" borderId="15" xfId="0" applyFont="1" applyFill="1" applyBorder="1" applyAlignment="1">
      <alignment horizontal="center" vertical="center"/>
    </xf>
    <xf numFmtId="0" fontId="46" fillId="3" borderId="8" xfId="30" applyNumberFormat="1" applyFont="1" applyFill="1" applyBorder="1" applyAlignment="1" applyProtection="1">
      <alignment horizontal="center" vertical="center" wrapText="1"/>
    </xf>
    <xf numFmtId="0" fontId="46" fillId="3" borderId="37" xfId="30" applyNumberFormat="1" applyFont="1" applyFill="1" applyBorder="1" applyAlignment="1" applyProtection="1">
      <alignment horizontal="center" vertical="center" wrapText="1"/>
    </xf>
    <xf numFmtId="0" fontId="46" fillId="3" borderId="52" xfId="30" applyNumberFormat="1" applyFont="1" applyFill="1" applyBorder="1" applyAlignment="1" applyProtection="1">
      <alignment horizontal="center" vertical="center" wrapText="1"/>
    </xf>
    <xf numFmtId="0" fontId="46" fillId="10" borderId="1" xfId="30" applyNumberFormat="1" applyFont="1" applyFill="1" applyBorder="1" applyAlignment="1" applyProtection="1">
      <alignment horizontal="left" vertical="center" wrapText="1"/>
    </xf>
    <xf numFmtId="0" fontId="46" fillId="12" borderId="21" xfId="30" applyNumberFormat="1" applyFont="1" applyFill="1" applyBorder="1" applyAlignment="1" applyProtection="1">
      <alignment horizontal="center" vertical="center" wrapText="1"/>
    </xf>
    <xf numFmtId="0" fontId="46" fillId="12" borderId="2" xfId="30" applyNumberFormat="1" applyFont="1" applyFill="1" applyBorder="1" applyAlignment="1" applyProtection="1">
      <alignment horizontal="center" vertical="center" wrapText="1"/>
    </xf>
    <xf numFmtId="0" fontId="46" fillId="12" borderId="22" xfId="30" applyNumberFormat="1" applyFont="1" applyFill="1" applyBorder="1" applyAlignment="1" applyProtection="1">
      <alignment horizontal="center" vertical="center" wrapText="1"/>
    </xf>
    <xf numFmtId="0" fontId="46" fillId="12" borderId="1" xfId="30" applyNumberFormat="1" applyFont="1" applyFill="1" applyBorder="1" applyAlignment="1" applyProtection="1">
      <alignment horizontal="center" vertical="center" wrapText="1"/>
    </xf>
    <xf numFmtId="170" fontId="46" fillId="12" borderId="22" xfId="46" applyNumberFormat="1" applyFont="1" applyFill="1" applyBorder="1" applyAlignment="1">
      <alignment horizontal="center" vertical="center" wrapText="1"/>
      <protection locked="0"/>
    </xf>
    <xf numFmtId="0" fontId="46" fillId="12" borderId="10" xfId="30" applyNumberFormat="1" applyFont="1" applyFill="1" applyBorder="1" applyAlignment="1" applyProtection="1">
      <alignment horizontal="center" vertical="center" wrapText="1"/>
    </xf>
    <xf numFmtId="0" fontId="46" fillId="12" borderId="3" xfId="30" applyNumberFormat="1" applyFont="1" applyFill="1" applyBorder="1" applyAlignment="1" applyProtection="1">
      <alignment horizontal="center" vertical="center" wrapText="1"/>
    </xf>
    <xf numFmtId="170" fontId="46" fillId="12" borderId="1" xfId="46" applyNumberFormat="1" applyFont="1" applyFill="1" applyBorder="1" applyAlignment="1">
      <alignment horizontal="center" vertical="center" wrapText="1"/>
      <protection locked="0"/>
    </xf>
    <xf numFmtId="4" fontId="37" fillId="0" borderId="1" xfId="30" applyFill="1" applyBorder="1" applyAlignment="1">
      <alignment vertical="center" wrapText="1"/>
      <protection locked="0"/>
    </xf>
    <xf numFmtId="40" fontId="46" fillId="10" borderId="1" xfId="30" applyNumberFormat="1" applyFont="1" applyFill="1" applyBorder="1" applyAlignment="1" applyProtection="1">
      <alignment horizontal="left" vertical="center" wrapText="1"/>
    </xf>
    <xf numFmtId="0" fontId="46" fillId="8" borderId="5" xfId="30" applyNumberFormat="1" applyFont="1" applyFill="1" applyBorder="1" applyAlignment="1" applyProtection="1">
      <alignment horizontal="right" vertical="center" wrapText="1"/>
    </xf>
    <xf numFmtId="0" fontId="46" fillId="8" borderId="6" xfId="30" applyNumberFormat="1" applyFont="1" applyFill="1" applyBorder="1" applyAlignment="1" applyProtection="1">
      <alignment horizontal="right" vertical="center" wrapText="1"/>
    </xf>
    <xf numFmtId="2" fontId="46" fillId="0" borderId="18" xfId="30" applyNumberFormat="1" applyFont="1" applyFill="1" applyBorder="1" applyAlignment="1" applyProtection="1">
      <alignment horizontal="center" vertical="center" wrapText="1"/>
    </xf>
    <xf numFmtId="2" fontId="46" fillId="0" borderId="19" xfId="30" applyNumberFormat="1" applyFont="1" applyFill="1" applyBorder="1" applyAlignment="1" applyProtection="1">
      <alignment horizontal="center" vertical="center" wrapText="1"/>
    </xf>
    <xf numFmtId="4" fontId="10" fillId="3" borderId="0" xfId="30" applyFont="1" applyFill="1" applyBorder="1" applyAlignment="1">
      <alignment horizontal="center" vertical="center" wrapText="1"/>
      <protection locked="0"/>
    </xf>
    <xf numFmtId="0" fontId="46" fillId="0" borderId="23" xfId="30" applyNumberFormat="1" applyFont="1" applyFill="1" applyBorder="1" applyAlignment="1" applyProtection="1">
      <alignment horizontal="right" vertical="center" wrapText="1"/>
    </xf>
    <xf numFmtId="0" fontId="46" fillId="0" borderId="24" xfId="30" applyNumberFormat="1" applyFont="1" applyFill="1" applyBorder="1" applyAlignment="1" applyProtection="1">
      <alignment horizontal="right" vertical="center" wrapText="1"/>
    </xf>
    <xf numFmtId="0" fontId="46" fillId="8" borderId="78" xfId="30" applyNumberFormat="1" applyFont="1" applyFill="1" applyBorder="1" applyAlignment="1" applyProtection="1">
      <alignment horizontal="right" vertical="center" wrapText="1"/>
    </xf>
    <xf numFmtId="0" fontId="46" fillId="8" borderId="79" xfId="30" applyNumberFormat="1" applyFont="1" applyFill="1" applyBorder="1" applyAlignment="1" applyProtection="1">
      <alignment horizontal="right" vertical="center" wrapText="1"/>
    </xf>
    <xf numFmtId="0" fontId="46" fillId="0" borderId="76" xfId="30" applyNumberFormat="1" applyFont="1" applyFill="1" applyBorder="1" applyAlignment="1" applyProtection="1">
      <alignment horizontal="right" vertical="center" wrapText="1"/>
    </xf>
    <xf numFmtId="0" fontId="46" fillId="0" borderId="77" xfId="30" applyNumberFormat="1" applyFont="1" applyFill="1" applyBorder="1" applyAlignment="1" applyProtection="1">
      <alignment horizontal="right" vertical="center" wrapText="1"/>
    </xf>
    <xf numFmtId="0" fontId="64" fillId="0" borderId="14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4" fontId="37" fillId="0" borderId="27" xfId="30" applyFill="1" applyBorder="1">
      <alignment vertical="center" wrapText="1"/>
      <protection locked="0"/>
    </xf>
    <xf numFmtId="49" fontId="46" fillId="10" borderId="1" xfId="32" applyNumberFormat="1" applyFont="1" applyFill="1" applyBorder="1" applyAlignment="1">
      <alignment horizontal="left" vertical="center" wrapText="1"/>
      <protection locked="0"/>
    </xf>
    <xf numFmtId="0" fontId="46" fillId="10" borderId="1" xfId="30" applyNumberFormat="1" applyFont="1" applyFill="1" applyBorder="1" applyAlignment="1" applyProtection="1">
      <alignment horizontal="justify" vertical="center" wrapText="1"/>
    </xf>
    <xf numFmtId="0" fontId="46" fillId="0" borderId="8" xfId="30" applyNumberFormat="1" applyFont="1" applyFill="1" applyBorder="1" applyAlignment="1" applyProtection="1">
      <alignment horizontal="center" vertical="center" wrapText="1"/>
    </xf>
    <xf numFmtId="0" fontId="46" fillId="0" borderId="37" xfId="30" applyNumberFormat="1" applyFont="1" applyFill="1" applyBorder="1" applyAlignment="1" applyProtection="1">
      <alignment horizontal="center" vertical="center" wrapText="1"/>
    </xf>
    <xf numFmtId="0" fontId="46" fillId="0" borderId="52" xfId="30" applyNumberFormat="1" applyFont="1" applyFill="1" applyBorder="1" applyAlignment="1" applyProtection="1">
      <alignment horizontal="center" vertical="center" wrapText="1"/>
    </xf>
    <xf numFmtId="4" fontId="37" fillId="0" borderId="1" xfId="30" applyFill="1" applyBorder="1">
      <alignment vertical="center" wrapText="1"/>
      <protection locked="0"/>
    </xf>
    <xf numFmtId="0" fontId="61" fillId="0" borderId="12" xfId="0" applyFont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0" fillId="0" borderId="16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22" fontId="60" fillId="0" borderId="13" xfId="0" applyNumberFormat="1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0" fillId="0" borderId="15" xfId="0" applyFont="1" applyBorder="1" applyAlignment="1">
      <alignment horizontal="left" vertical="center"/>
    </xf>
    <xf numFmtId="0" fontId="0" fillId="2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0" fillId="0" borderId="17" xfId="0" applyFont="1" applyBorder="1" applyAlignment="1">
      <alignment horizontal="left" vertical="center"/>
    </xf>
    <xf numFmtId="0" fontId="60" fillId="0" borderId="28" xfId="0" applyFont="1" applyBorder="1" applyAlignment="1">
      <alignment horizontal="left" vertical="center"/>
    </xf>
    <xf numFmtId="0" fontId="30" fillId="10" borderId="89" xfId="0" applyFont="1" applyFill="1" applyBorder="1" applyAlignment="1">
      <alignment horizontal="left" vertical="center" wrapText="1"/>
    </xf>
    <xf numFmtId="0" fontId="30" fillId="10" borderId="37" xfId="0" applyFont="1" applyFill="1" applyBorder="1" applyAlignment="1">
      <alignment horizontal="left" vertical="center" wrapText="1"/>
    </xf>
    <xf numFmtId="0" fontId="30" fillId="10" borderId="52" xfId="0" applyFont="1" applyFill="1" applyBorder="1" applyAlignment="1">
      <alignment horizontal="left" vertical="center" wrapText="1"/>
    </xf>
    <xf numFmtId="0" fontId="30" fillId="2" borderId="55" xfId="0" applyFont="1" applyFill="1" applyBorder="1" applyAlignment="1">
      <alignment horizontal="left" vertical="center"/>
    </xf>
    <xf numFmtId="0" fontId="30" fillId="2" borderId="61" xfId="0" applyFont="1" applyFill="1" applyBorder="1" applyAlignment="1">
      <alignment horizontal="left" vertical="center"/>
    </xf>
    <xf numFmtId="0" fontId="30" fillId="2" borderId="56" xfId="0" applyFont="1" applyFill="1" applyBorder="1" applyAlignment="1">
      <alignment horizontal="left" vertical="center"/>
    </xf>
    <xf numFmtId="0" fontId="33" fillId="11" borderId="87" xfId="0" applyFont="1" applyFill="1" applyBorder="1" applyAlignment="1">
      <alignment horizontal="center" vertical="center"/>
    </xf>
    <xf numFmtId="0" fontId="33" fillId="11" borderId="88" xfId="0" applyFont="1" applyFill="1" applyBorder="1" applyAlignment="1">
      <alignment horizontal="center" vertical="center"/>
    </xf>
    <xf numFmtId="0" fontId="28" fillId="11" borderId="54" xfId="0" applyFont="1" applyFill="1" applyBorder="1" applyAlignment="1">
      <alignment horizontal="center" vertical="center" wrapText="1"/>
    </xf>
    <xf numFmtId="0" fontId="28" fillId="11" borderId="82" xfId="0" applyFont="1" applyFill="1" applyBorder="1" applyAlignment="1">
      <alignment horizontal="center" vertical="center" wrapText="1"/>
    </xf>
    <xf numFmtId="0" fontId="28" fillId="11" borderId="31" xfId="0" applyFont="1" applyFill="1" applyBorder="1" applyAlignment="1">
      <alignment horizontal="center" vertical="center" wrapText="1"/>
    </xf>
    <xf numFmtId="0" fontId="29" fillId="8" borderId="90" xfId="0" applyFont="1" applyFill="1" applyBorder="1" applyAlignment="1">
      <alignment horizontal="center" vertical="center" textRotation="90"/>
    </xf>
    <xf numFmtId="0" fontId="29" fillId="8" borderId="91" xfId="0" applyFont="1" applyFill="1" applyBorder="1" applyAlignment="1">
      <alignment horizontal="center" vertical="center" textRotation="90"/>
    </xf>
    <xf numFmtId="0" fontId="29" fillId="8" borderId="92" xfId="0" applyFont="1" applyFill="1" applyBorder="1" applyAlignment="1">
      <alignment horizontal="center" vertical="center" textRotation="90"/>
    </xf>
    <xf numFmtId="0" fontId="41" fillId="0" borderId="13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14" fillId="0" borderId="108" xfId="14" applyFont="1" applyBorder="1" applyAlignment="1">
      <alignment horizontal="left" vertical="center" wrapText="1"/>
    </xf>
    <xf numFmtId="0" fontId="14" fillId="0" borderId="40" xfId="14" applyFont="1" applyBorder="1" applyAlignment="1">
      <alignment horizontal="left" vertical="center" wrapText="1"/>
    </xf>
    <xf numFmtId="0" fontId="14" fillId="0" borderId="109" xfId="14" applyFont="1" applyBorder="1" applyAlignment="1">
      <alignment horizontal="left" vertical="center" wrapText="1"/>
    </xf>
    <xf numFmtId="0" fontId="15" fillId="7" borderId="108" xfId="14" applyFont="1" applyFill="1" applyBorder="1" applyAlignment="1">
      <alignment horizontal="center" vertical="top" wrapText="1"/>
    </xf>
    <xf numFmtId="0" fontId="15" fillId="7" borderId="40" xfId="14" applyFont="1" applyFill="1" applyBorder="1" applyAlignment="1">
      <alignment horizontal="center" vertical="top" wrapText="1"/>
    </xf>
    <xf numFmtId="0" fontId="15" fillId="7" borderId="109" xfId="14" applyFont="1" applyFill="1" applyBorder="1" applyAlignment="1">
      <alignment horizontal="center" vertical="top" wrapText="1"/>
    </xf>
    <xf numFmtId="0" fontId="13" fillId="0" borderId="108" xfId="14" applyFont="1" applyBorder="1" applyAlignment="1">
      <alignment horizontal="left" vertical="center" wrapText="1"/>
    </xf>
    <xf numFmtId="0" fontId="13" fillId="0" borderId="40" xfId="14" applyFont="1" applyBorder="1" applyAlignment="1">
      <alignment horizontal="left" vertical="center" wrapText="1"/>
    </xf>
    <xf numFmtId="0" fontId="11" fillId="11" borderId="104" xfId="14" applyFill="1" applyBorder="1" applyAlignment="1">
      <alignment horizontal="center"/>
    </xf>
    <xf numFmtId="0" fontId="11" fillId="11" borderId="50" xfId="14" applyFill="1" applyBorder="1" applyAlignment="1">
      <alignment horizontal="center"/>
    </xf>
    <xf numFmtId="0" fontId="11" fillId="11" borderId="105" xfId="14" applyFill="1" applyBorder="1" applyAlignment="1">
      <alignment horizontal="center"/>
    </xf>
    <xf numFmtId="0" fontId="13" fillId="0" borderId="106" xfId="14" applyFont="1" applyBorder="1" applyAlignment="1">
      <alignment horizontal="left" vertical="center" wrapText="1"/>
    </xf>
    <xf numFmtId="0" fontId="13" fillId="0" borderId="51" xfId="14" applyFont="1" applyBorder="1" applyAlignment="1">
      <alignment horizontal="left" vertical="center" wrapText="1"/>
    </xf>
    <xf numFmtId="0" fontId="13" fillId="0" borderId="107" xfId="14" applyFont="1" applyBorder="1" applyAlignment="1">
      <alignment horizontal="left" vertical="center" wrapText="1"/>
    </xf>
    <xf numFmtId="0" fontId="56" fillId="3" borderId="102" xfId="50" applyFont="1" applyFill="1" applyBorder="1" applyAlignment="1">
      <alignment horizontal="center" wrapText="1"/>
    </xf>
    <xf numFmtId="0" fontId="56" fillId="3" borderId="95" xfId="50" applyFont="1" applyFill="1" applyBorder="1" applyAlignment="1">
      <alignment horizontal="center" wrapText="1"/>
    </xf>
    <xf numFmtId="0" fontId="56" fillId="3" borderId="103" xfId="50" applyFont="1" applyFill="1" applyBorder="1" applyAlignment="1">
      <alignment horizontal="center" wrapText="1"/>
    </xf>
    <xf numFmtId="0" fontId="62" fillId="3" borderId="100" xfId="50" applyFont="1" applyFill="1" applyBorder="1" applyAlignment="1">
      <alignment horizontal="center" vertical="center"/>
    </xf>
    <xf numFmtId="0" fontId="62" fillId="3" borderId="97" xfId="50" applyFont="1" applyFill="1" applyBorder="1" applyAlignment="1">
      <alignment horizontal="center" vertical="center"/>
    </xf>
    <xf numFmtId="0" fontId="62" fillId="3" borderId="101" xfId="50" applyFont="1" applyFill="1" applyBorder="1" applyAlignment="1">
      <alignment horizontal="center" vertical="center"/>
    </xf>
    <xf numFmtId="0" fontId="11" fillId="0" borderId="121" xfId="14" applyBorder="1" applyAlignment="1">
      <alignment horizontal="center"/>
    </xf>
    <xf numFmtId="0" fontId="11" fillId="0" borderId="38" xfId="14" applyBorder="1" applyAlignment="1">
      <alignment horizontal="center"/>
    </xf>
    <xf numFmtId="0" fontId="11" fillId="0" borderId="122" xfId="14" applyBorder="1" applyAlignment="1">
      <alignment horizontal="center"/>
    </xf>
    <xf numFmtId="0" fontId="13" fillId="0" borderId="111" xfId="14" applyFont="1" applyBorder="1" applyAlignment="1">
      <alignment horizontal="left" vertical="center" wrapText="1"/>
    </xf>
    <xf numFmtId="0" fontId="13" fillId="0" borderId="46" xfId="14" applyFont="1" applyBorder="1" applyAlignment="1">
      <alignment horizontal="left" vertical="center" wrapText="1"/>
    </xf>
    <xf numFmtId="0" fontId="12" fillId="0" borderId="113" xfId="14" applyFont="1" applyBorder="1" applyAlignment="1">
      <alignment horizontal="left" vertical="center" wrapText="1"/>
    </xf>
    <xf numFmtId="0" fontId="12" fillId="0" borderId="47" xfId="14" applyFont="1" applyBorder="1" applyAlignment="1">
      <alignment horizontal="left" vertical="center" wrapText="1"/>
    </xf>
    <xf numFmtId="0" fontId="13" fillId="0" borderId="115" xfId="14" applyFont="1" applyBorder="1" applyAlignment="1">
      <alignment horizontal="center" vertical="center" wrapText="1"/>
    </xf>
    <xf numFmtId="0" fontId="13" fillId="0" borderId="45" xfId="14" applyFont="1" applyBorder="1" applyAlignment="1">
      <alignment horizontal="center" vertical="center" wrapText="1"/>
    </xf>
    <xf numFmtId="0" fontId="13" fillId="0" borderId="116" xfId="14" applyFont="1" applyBorder="1" applyAlignment="1">
      <alignment horizontal="center" vertical="center" wrapText="1"/>
    </xf>
    <xf numFmtId="0" fontId="11" fillId="0" borderId="108" xfId="14" applyBorder="1" applyAlignment="1">
      <alignment horizontal="left" vertical="center"/>
    </xf>
    <xf numFmtId="0" fontId="11" fillId="0" borderId="40" xfId="14" applyBorder="1" applyAlignment="1">
      <alignment horizontal="left" vertical="center"/>
    </xf>
    <xf numFmtId="0" fontId="11" fillId="0" borderId="109" xfId="14" applyBorder="1" applyAlignment="1">
      <alignment horizontal="left" vertical="center"/>
    </xf>
    <xf numFmtId="0" fontId="13" fillId="0" borderId="117" xfId="14" applyFont="1" applyBorder="1" applyAlignment="1">
      <alignment horizontal="center" vertical="center" wrapText="1"/>
    </xf>
    <xf numFmtId="0" fontId="13" fillId="0" borderId="41" xfId="14" applyFont="1" applyBorder="1" applyAlignment="1">
      <alignment horizontal="center" vertical="center" wrapText="1"/>
    </xf>
    <xf numFmtId="0" fontId="13" fillId="0" borderId="118" xfId="14" applyFont="1" applyBorder="1" applyAlignment="1">
      <alignment horizontal="center" vertical="center" wrapText="1"/>
    </xf>
    <xf numFmtId="0" fontId="18" fillId="7" borderId="119" xfId="14" applyFont="1" applyFill="1" applyBorder="1" applyAlignment="1">
      <alignment horizontal="right" vertical="center" wrapText="1"/>
    </xf>
    <xf numFmtId="0" fontId="18" fillId="7" borderId="42" xfId="14" applyFont="1" applyFill="1" applyBorder="1" applyAlignment="1">
      <alignment horizontal="right" vertical="center" wrapText="1"/>
    </xf>
    <xf numFmtId="0" fontId="18" fillId="7" borderId="43" xfId="14" applyFont="1" applyFill="1" applyBorder="1" applyAlignment="1">
      <alignment horizontal="right" vertical="center" wrapText="1"/>
    </xf>
    <xf numFmtId="10" fontId="18" fillId="7" borderId="44" xfId="14" applyNumberFormat="1" applyFont="1" applyFill="1" applyBorder="1" applyAlignment="1">
      <alignment horizontal="center" vertical="center" wrapText="1"/>
    </xf>
    <xf numFmtId="10" fontId="18" fillId="7" borderId="120" xfId="14" applyNumberFormat="1" applyFont="1" applyFill="1" applyBorder="1" applyAlignment="1">
      <alignment horizontal="center" vertical="center" wrapText="1"/>
    </xf>
    <xf numFmtId="0" fontId="11" fillId="0" borderId="125" xfId="14" applyBorder="1" applyAlignment="1">
      <alignment horizontal="left" vertical="center" wrapText="1"/>
    </xf>
    <xf numFmtId="0" fontId="11" fillId="0" borderId="99" xfId="14" applyBorder="1" applyAlignment="1">
      <alignment horizontal="left" vertical="center" wrapText="1"/>
    </xf>
    <xf numFmtId="0" fontId="11" fillId="0" borderId="126" xfId="14" applyBorder="1" applyAlignment="1">
      <alignment horizontal="left" vertical="center" wrapText="1"/>
    </xf>
    <xf numFmtId="0" fontId="19" fillId="0" borderId="121" xfId="14" applyFont="1" applyBorder="1" applyAlignment="1">
      <alignment horizontal="center" vertical="top"/>
    </xf>
    <xf numFmtId="0" fontId="19" fillId="0" borderId="38" xfId="14" applyFont="1" applyBorder="1" applyAlignment="1">
      <alignment horizontal="center" vertical="top"/>
    </xf>
    <xf numFmtId="0" fontId="19" fillId="0" borderId="122" xfId="14" applyFont="1" applyBorder="1" applyAlignment="1">
      <alignment horizontal="center" vertical="top"/>
    </xf>
    <xf numFmtId="0" fontId="57" fillId="0" borderId="123" xfId="14" applyFont="1" applyBorder="1" applyAlignment="1">
      <alignment horizontal="right"/>
    </xf>
    <xf numFmtId="0" fontId="57" fillId="0" borderId="39" xfId="14" applyFont="1" applyBorder="1" applyAlignment="1">
      <alignment horizontal="right"/>
    </xf>
    <xf numFmtId="0" fontId="13" fillId="0" borderId="110" xfId="14" applyFont="1" applyBorder="1" applyAlignment="1">
      <alignment horizontal="left" vertical="center" wrapText="1"/>
    </xf>
    <xf numFmtId="0" fontId="13" fillId="0" borderId="48" xfId="14" applyFont="1" applyBorder="1" applyAlignment="1">
      <alignment horizontal="left" vertical="center" wrapText="1"/>
    </xf>
    <xf numFmtId="0" fontId="13" fillId="0" borderId="49" xfId="14" applyFont="1" applyBorder="1" applyAlignment="1">
      <alignment horizontal="left" vertical="center" wrapText="1"/>
    </xf>
    <xf numFmtId="0" fontId="15" fillId="7" borderId="115" xfId="14" applyFont="1" applyFill="1" applyBorder="1" applyAlignment="1">
      <alignment horizontal="center" vertical="center" wrapText="1"/>
    </xf>
    <xf numFmtId="0" fontId="15" fillId="7" borderId="45" xfId="14" applyFont="1" applyFill="1" applyBorder="1" applyAlignment="1">
      <alignment horizontal="center" vertical="center" wrapText="1"/>
    </xf>
    <xf numFmtId="0" fontId="15" fillId="7" borderId="116" xfId="14" applyFont="1" applyFill="1" applyBorder="1" applyAlignment="1">
      <alignment horizontal="center" vertical="center" wrapText="1"/>
    </xf>
    <xf numFmtId="0" fontId="17" fillId="0" borderId="48" xfId="14" applyFont="1" applyBorder="1" applyAlignment="1">
      <alignment horizontal="left" vertical="center" wrapText="1"/>
    </xf>
    <xf numFmtId="0" fontId="17" fillId="0" borderId="49" xfId="14" applyFont="1" applyBorder="1" applyAlignment="1">
      <alignment horizontal="left" vertical="center" wrapText="1"/>
    </xf>
  </cellXfs>
  <cellStyles count="52">
    <cellStyle name="Cabeçalho 1" xfId="1"/>
    <cellStyle name="Cabeçalho 2" xfId="2"/>
    <cellStyle name="Comma 2" xfId="3"/>
    <cellStyle name="Data" xfId="4"/>
    <cellStyle name="Fixo" xfId="5"/>
    <cellStyle name="Graphics" xfId="6"/>
    <cellStyle name="Moeda" xfId="7" builtinId="4"/>
    <cellStyle name="Moeda 2 2" xfId="8"/>
    <cellStyle name="Moeda 3" xfId="9"/>
    <cellStyle name="Moeda0" xfId="10"/>
    <cellStyle name="Normal" xfId="0" builtinId="0"/>
    <cellStyle name="Normal 10" xfId="11"/>
    <cellStyle name="Normal 12" xfId="12"/>
    <cellStyle name="Normal 145" xfId="13"/>
    <cellStyle name="Normal 2" xfId="14"/>
    <cellStyle name="Normal 2 10" xfId="15"/>
    <cellStyle name="Normal 2 2" xfId="16"/>
    <cellStyle name="Normal 2 3" xfId="17"/>
    <cellStyle name="Normal 2 4" xfId="18"/>
    <cellStyle name="Normal 2 5" xfId="50"/>
    <cellStyle name="Normal 202" xfId="19"/>
    <cellStyle name="Normal 23" xfId="51"/>
    <cellStyle name="Normal 3 2" xfId="20"/>
    <cellStyle name="Normal 3 3" xfId="21"/>
    <cellStyle name="Normal 4" xfId="22"/>
    <cellStyle name="Normal 4 2" xfId="23"/>
    <cellStyle name="Normal 46" xfId="24"/>
    <cellStyle name="Normal 5" xfId="25"/>
    <cellStyle name="Normal 5 2" xfId="26"/>
    <cellStyle name="Normal 6 2" xfId="27"/>
    <cellStyle name="Normal 6 3" xfId="28"/>
    <cellStyle name="Normal 7" xfId="29"/>
    <cellStyle name="Normal 8" xfId="30"/>
    <cellStyle name="Porcentagem 3" xfId="31"/>
    <cellStyle name="Porcentagem 3 2" xfId="32"/>
    <cellStyle name="Porcentagem 4" xfId="33"/>
    <cellStyle name="Separador de milhares 10" xfId="34"/>
    <cellStyle name="Separador de milhares 12" xfId="35"/>
    <cellStyle name="Separador de milhares 2 2" xfId="36"/>
    <cellStyle name="Separador de milhares 2 3" xfId="37"/>
    <cellStyle name="Separador de milhares 3" xfId="38"/>
    <cellStyle name="Separador de milhares 3 3" xfId="39"/>
    <cellStyle name="Separador de milhares 4" xfId="40"/>
    <cellStyle name="Separador de milhares 5" xfId="41"/>
    <cellStyle name="Separador de milhares 5 2" xfId="42"/>
    <cellStyle name="Separador de milhares 6" xfId="43"/>
    <cellStyle name="Separador de milhares 7" xfId="44"/>
    <cellStyle name="Separador de milhares 9" xfId="45"/>
    <cellStyle name="Separador de milhares_Pasta1" xfId="46"/>
    <cellStyle name="Título 5" xfId="47"/>
    <cellStyle name="Total 4" xfId="48"/>
    <cellStyle name="Vírgula0" xfId="49"/>
  </cellStyles>
  <dxfs count="90">
    <dxf>
      <fill>
        <patternFill>
          <bgColor theme="0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7030A0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7030A0"/>
        </patternFill>
      </fill>
    </dxf>
    <dxf>
      <fill>
        <patternFill>
          <bgColor theme="3" tint="0.79998168889431442"/>
        </patternFill>
      </fill>
    </dxf>
    <dxf>
      <fill>
        <patternFill>
          <bgColor rgb="FF7030A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FF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213</xdr:row>
      <xdr:rowOff>114300</xdr:rowOff>
    </xdr:from>
    <xdr:to>
      <xdr:col>3</xdr:col>
      <xdr:colOff>1333500</xdr:colOff>
      <xdr:row>214</xdr:row>
      <xdr:rowOff>152400</xdr:rowOff>
    </xdr:to>
    <xdr:pic>
      <xdr:nvPicPr>
        <xdr:cNvPr id="48337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65198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43157</xdr:colOff>
      <xdr:row>2</xdr:row>
      <xdr:rowOff>77825</xdr:rowOff>
    </xdr:from>
    <xdr:to>
      <xdr:col>0</xdr:col>
      <xdr:colOff>973666</xdr:colOff>
      <xdr:row>4</xdr:row>
      <xdr:rowOff>148168</xdr:rowOff>
    </xdr:to>
    <xdr:pic>
      <xdr:nvPicPr>
        <xdr:cNvPr id="10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57" y="310658"/>
          <a:ext cx="930509" cy="55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114300</xdr:rowOff>
    </xdr:from>
    <xdr:to>
      <xdr:col>5</xdr:col>
      <xdr:colOff>0</xdr:colOff>
      <xdr:row>27</xdr:row>
      <xdr:rowOff>152400</xdr:rowOff>
    </xdr:to>
    <xdr:pic>
      <xdr:nvPicPr>
        <xdr:cNvPr id="46435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3149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28575</xdr:rowOff>
    </xdr:from>
    <xdr:to>
      <xdr:col>1</xdr:col>
      <xdr:colOff>630182</xdr:colOff>
      <xdr:row>3</xdr:row>
      <xdr:rowOff>132294</xdr:rowOff>
    </xdr:to>
    <xdr:pic>
      <xdr:nvPicPr>
        <xdr:cNvPr id="6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52425"/>
          <a:ext cx="915932" cy="57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3</xdr:row>
      <xdr:rowOff>69851</xdr:rowOff>
    </xdr:from>
    <xdr:to>
      <xdr:col>1</xdr:col>
      <xdr:colOff>819150</xdr:colOff>
      <xdr:row>5</xdr:row>
      <xdr:rowOff>161925</xdr:rowOff>
    </xdr:to>
    <xdr:pic>
      <xdr:nvPicPr>
        <xdr:cNvPr id="9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669926"/>
          <a:ext cx="1000124" cy="568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33632</xdr:colOff>
      <xdr:row>0</xdr:row>
      <xdr:rowOff>119201</xdr:rowOff>
    </xdr:from>
    <xdr:to>
      <xdr:col>0</xdr:col>
      <xdr:colOff>685800</xdr:colOff>
      <xdr:row>2</xdr:row>
      <xdr:rowOff>28575</xdr:rowOff>
    </xdr:to>
    <xdr:pic>
      <xdr:nvPicPr>
        <xdr:cNvPr id="6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32" y="119201"/>
          <a:ext cx="652168" cy="433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149</xdr:row>
      <xdr:rowOff>114300</xdr:rowOff>
    </xdr:from>
    <xdr:to>
      <xdr:col>2</xdr:col>
      <xdr:colOff>1333500</xdr:colOff>
      <xdr:row>150</xdr:row>
      <xdr:rowOff>152400</xdr:rowOff>
    </xdr:to>
    <xdr:pic>
      <xdr:nvPicPr>
        <xdr:cNvPr id="45946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31780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155</xdr:row>
      <xdr:rowOff>114300</xdr:rowOff>
    </xdr:from>
    <xdr:to>
      <xdr:col>2</xdr:col>
      <xdr:colOff>1333500</xdr:colOff>
      <xdr:row>156</xdr:row>
      <xdr:rowOff>152400</xdr:rowOff>
    </xdr:to>
    <xdr:pic>
      <xdr:nvPicPr>
        <xdr:cNvPr id="45947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4149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161</xdr:row>
      <xdr:rowOff>114300</xdr:rowOff>
    </xdr:from>
    <xdr:to>
      <xdr:col>2</xdr:col>
      <xdr:colOff>1333500</xdr:colOff>
      <xdr:row>162</xdr:row>
      <xdr:rowOff>152400</xdr:rowOff>
    </xdr:to>
    <xdr:pic>
      <xdr:nvPicPr>
        <xdr:cNvPr id="45948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51211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187</xdr:row>
      <xdr:rowOff>114300</xdr:rowOff>
    </xdr:from>
    <xdr:to>
      <xdr:col>2</xdr:col>
      <xdr:colOff>0</xdr:colOff>
      <xdr:row>188</xdr:row>
      <xdr:rowOff>152400</xdr:rowOff>
    </xdr:to>
    <xdr:pic>
      <xdr:nvPicPr>
        <xdr:cNvPr id="45949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9331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24107</xdr:colOff>
      <xdr:row>0</xdr:row>
      <xdr:rowOff>79376</xdr:rowOff>
    </xdr:from>
    <xdr:to>
      <xdr:col>0</xdr:col>
      <xdr:colOff>969434</xdr:colOff>
      <xdr:row>2</xdr:row>
      <xdr:rowOff>113244</xdr:rowOff>
    </xdr:to>
    <xdr:pic>
      <xdr:nvPicPr>
        <xdr:cNvPr id="11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7" y="79376"/>
          <a:ext cx="945327" cy="47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40</xdr:row>
      <xdr:rowOff>114300</xdr:rowOff>
    </xdr:from>
    <xdr:to>
      <xdr:col>6</xdr:col>
      <xdr:colOff>0</xdr:colOff>
      <xdr:row>41</xdr:row>
      <xdr:rowOff>152400</xdr:rowOff>
    </xdr:to>
    <xdr:pic>
      <xdr:nvPicPr>
        <xdr:cNvPr id="33623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0782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438149</xdr:colOff>
      <xdr:row>1</xdr:row>
      <xdr:rowOff>41275</xdr:rowOff>
    </xdr:from>
    <xdr:to>
      <xdr:col>2</xdr:col>
      <xdr:colOff>723899</xdr:colOff>
      <xdr:row>3</xdr:row>
      <xdr:rowOff>184715</xdr:rowOff>
    </xdr:to>
    <xdr:pic>
      <xdr:nvPicPr>
        <xdr:cNvPr id="7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307975"/>
          <a:ext cx="1038225" cy="75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114300</xdr:rowOff>
    </xdr:from>
    <xdr:to>
      <xdr:col>1</xdr:col>
      <xdr:colOff>0</xdr:colOff>
      <xdr:row>24</xdr:row>
      <xdr:rowOff>152400</xdr:rowOff>
    </xdr:to>
    <xdr:pic>
      <xdr:nvPicPr>
        <xdr:cNvPr id="49238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819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60091</xdr:colOff>
      <xdr:row>0</xdr:row>
      <xdr:rowOff>98426</xdr:rowOff>
    </xdr:from>
    <xdr:to>
      <xdr:col>0</xdr:col>
      <xdr:colOff>1000125</xdr:colOff>
      <xdr:row>2</xdr:row>
      <xdr:rowOff>141819</xdr:rowOff>
    </xdr:to>
    <xdr:pic>
      <xdr:nvPicPr>
        <xdr:cNvPr id="6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91" y="98426"/>
          <a:ext cx="940034" cy="519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1533525</xdr:colOff>
          <xdr:row>8</xdr:row>
          <xdr:rowOff>180975</xdr:rowOff>
        </xdr:from>
        <xdr:to>
          <xdr:col>3</xdr:col>
          <xdr:colOff>2581275</xdr:colOff>
          <xdr:row>8</xdr:row>
          <xdr:rowOff>561975</xdr:rowOff>
        </xdr:to>
        <xdr:sp macro="" textlink="">
          <xdr:nvSpPr>
            <xdr:cNvPr id="47190" name="Object 8278" hidden="1">
              <a:extLst>
                <a:ext uri="{63B3BB69-23CF-44E3-9099-C40C66FF867C}">
                  <a14:compatExt spid="_x0000_s4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1009650</xdr:colOff>
          <xdr:row>30</xdr:row>
          <xdr:rowOff>76200</xdr:rowOff>
        </xdr:from>
        <xdr:to>
          <xdr:col>3</xdr:col>
          <xdr:colOff>3467100</xdr:colOff>
          <xdr:row>30</xdr:row>
          <xdr:rowOff>457200</xdr:rowOff>
        </xdr:to>
        <xdr:sp macro="" textlink="">
          <xdr:nvSpPr>
            <xdr:cNvPr id="47191" name="Object 8279" hidden="1">
              <a:extLst>
                <a:ext uri="{63B3BB69-23CF-44E3-9099-C40C66FF867C}">
                  <a14:compatExt spid="_x0000_s4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1376796</xdr:colOff>
      <xdr:row>8</xdr:row>
      <xdr:rowOff>86591</xdr:rowOff>
    </xdr:from>
    <xdr:to>
      <xdr:col>3</xdr:col>
      <xdr:colOff>1381372</xdr:colOff>
      <xdr:row>8</xdr:row>
      <xdr:rowOff>191027</xdr:rowOff>
    </xdr:to>
    <xdr:pic>
      <xdr:nvPicPr>
        <xdr:cNvPr id="9" name="Imagem 8" descr="logo verde-s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421" y="1829666"/>
          <a:ext cx="4576" cy="104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0</xdr:row>
      <xdr:rowOff>95250</xdr:rowOff>
    </xdr:from>
    <xdr:to>
      <xdr:col>0</xdr:col>
      <xdr:colOff>997184</xdr:colOff>
      <xdr:row>2</xdr:row>
      <xdr:rowOff>138643</xdr:rowOff>
    </xdr:to>
    <xdr:pic>
      <xdr:nvPicPr>
        <xdr:cNvPr id="12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940034" cy="519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8.w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30"/>
  <sheetViews>
    <sheetView showGridLines="0" tabSelected="1" view="pageBreakPreview" topLeftCell="C1" zoomScaleNormal="90" zoomScaleSheetLayoutView="100" workbookViewId="0">
      <selection activeCell="K12" sqref="K12"/>
    </sheetView>
  </sheetViews>
  <sheetFormatPr defaultRowHeight="12.75" x14ac:dyDescent="0.2"/>
  <cols>
    <col min="1" max="1" width="15.28515625" style="503" bestFit="1" customWidth="1"/>
    <col min="2" max="2" width="15.42578125" style="307" bestFit="1" customWidth="1"/>
    <col min="3" max="3" width="90.42578125" style="307" customWidth="1"/>
    <col min="4" max="4" width="9.140625" style="307"/>
    <col min="5" max="5" width="11.85546875" style="307" customWidth="1"/>
    <col min="6" max="6" width="12.85546875" style="307" customWidth="1"/>
    <col min="7" max="7" width="14.7109375" style="307" customWidth="1"/>
    <col min="8" max="8" width="14" bestFit="1" customWidth="1"/>
    <col min="9" max="9" width="2.7109375" customWidth="1"/>
    <col min="10" max="10" width="10.42578125" customWidth="1"/>
    <col min="11" max="11" width="12.85546875" bestFit="1" customWidth="1"/>
    <col min="12" max="12" width="10.42578125" bestFit="1" customWidth="1"/>
    <col min="13" max="13" width="12.85546875" bestFit="1" customWidth="1"/>
    <col min="14" max="14" width="8.28515625" bestFit="1" customWidth="1"/>
    <col min="15" max="15" width="11.140625" bestFit="1" customWidth="1"/>
    <col min="16" max="16" width="16.7109375" bestFit="1" customWidth="1"/>
    <col min="17" max="17" width="13.28515625" bestFit="1" customWidth="1"/>
  </cols>
  <sheetData>
    <row r="1" spans="1:7" ht="11.25" customHeight="1" x14ac:dyDescent="0.2">
      <c r="A1" s="486"/>
    </row>
    <row r="2" spans="1:7" ht="6.75" customHeight="1" thickBot="1" x14ac:dyDescent="0.25">
      <c r="A2" s="486"/>
    </row>
    <row r="3" spans="1:7" ht="18.75" customHeight="1" x14ac:dyDescent="0.2">
      <c r="A3" s="522"/>
      <c r="B3" s="525" t="s">
        <v>747</v>
      </c>
      <c r="C3" s="526"/>
      <c r="D3" s="526"/>
      <c r="E3" s="527"/>
      <c r="F3" s="509" t="s">
        <v>748</v>
      </c>
      <c r="G3" s="510"/>
    </row>
    <row r="4" spans="1:7" ht="18.75" customHeight="1" x14ac:dyDescent="0.2">
      <c r="A4" s="523"/>
      <c r="B4" s="528" t="s">
        <v>749</v>
      </c>
      <c r="C4" s="529"/>
      <c r="D4" s="529"/>
      <c r="E4" s="530"/>
      <c r="F4" s="511">
        <f ca="1">NOW()</f>
        <v>43761.736742476853</v>
      </c>
      <c r="G4" s="512"/>
    </row>
    <row r="5" spans="1:7" ht="18.75" customHeight="1" thickBot="1" x14ac:dyDescent="0.25">
      <c r="A5" s="524"/>
      <c r="B5" s="531" t="s">
        <v>750</v>
      </c>
      <c r="C5" s="532"/>
      <c r="D5" s="532"/>
      <c r="E5" s="533"/>
      <c r="F5" s="513" t="s">
        <v>513</v>
      </c>
      <c r="G5" s="514"/>
    </row>
    <row r="6" spans="1:7" ht="15" x14ac:dyDescent="0.2">
      <c r="A6" s="265" t="s">
        <v>751</v>
      </c>
      <c r="B6" s="517">
        <f ca="1">NOW()</f>
        <v>43761.736742476853</v>
      </c>
      <c r="C6" s="517"/>
      <c r="D6" s="515" t="s">
        <v>793</v>
      </c>
      <c r="E6" s="515"/>
      <c r="F6" s="515"/>
      <c r="G6" s="516"/>
    </row>
    <row r="7" spans="1:7" ht="15" x14ac:dyDescent="0.2">
      <c r="A7" s="266" t="s">
        <v>752</v>
      </c>
      <c r="B7" s="518" t="s">
        <v>768</v>
      </c>
      <c r="C7" s="518"/>
      <c r="D7" s="518"/>
      <c r="E7" s="518"/>
      <c r="F7" s="518"/>
      <c r="G7" s="519"/>
    </row>
    <row r="8" spans="1:7" ht="15" x14ac:dyDescent="0.2">
      <c r="A8" s="266" t="s">
        <v>753</v>
      </c>
      <c r="B8" s="518" t="s">
        <v>782</v>
      </c>
      <c r="C8" s="518"/>
      <c r="D8" s="518"/>
      <c r="E8" s="518"/>
      <c r="F8" s="518"/>
      <c r="G8" s="519"/>
    </row>
    <row r="9" spans="1:7" ht="15.75" thickBot="1" x14ac:dyDescent="0.25">
      <c r="A9" s="267" t="s">
        <v>754</v>
      </c>
      <c r="B9" s="520" t="s">
        <v>769</v>
      </c>
      <c r="C9" s="520"/>
      <c r="D9" s="520"/>
      <c r="E9" s="520"/>
      <c r="F9" s="520"/>
      <c r="G9" s="521"/>
    </row>
    <row r="10" spans="1:7" ht="33.75" customHeight="1" thickBot="1" x14ac:dyDescent="0.25">
      <c r="A10" s="505" t="s">
        <v>760</v>
      </c>
      <c r="B10" s="506"/>
      <c r="C10" s="506"/>
      <c r="D10" s="506"/>
      <c r="E10" s="506"/>
      <c r="F10" s="506"/>
      <c r="G10" s="507"/>
    </row>
    <row r="11" spans="1:7" ht="26.25" customHeight="1" x14ac:dyDescent="0.2">
      <c r="A11" s="259" t="s">
        <v>734</v>
      </c>
      <c r="B11" s="260" t="s">
        <v>1</v>
      </c>
      <c r="C11" s="261" t="s">
        <v>22</v>
      </c>
      <c r="D11" s="261" t="s">
        <v>735</v>
      </c>
      <c r="E11" s="262" t="s">
        <v>736</v>
      </c>
      <c r="F11" s="263" t="s">
        <v>737</v>
      </c>
      <c r="G11" s="264" t="s">
        <v>738</v>
      </c>
    </row>
    <row r="12" spans="1:7" x14ac:dyDescent="0.2">
      <c r="A12" s="179"/>
      <c r="B12" s="141">
        <v>1</v>
      </c>
      <c r="C12" s="142" t="s">
        <v>5</v>
      </c>
      <c r="D12" s="143"/>
      <c r="E12" s="144"/>
      <c r="F12" s="143"/>
      <c r="G12" s="145"/>
    </row>
    <row r="13" spans="1:7" x14ac:dyDescent="0.2">
      <c r="A13" s="146">
        <v>73672</v>
      </c>
      <c r="B13" s="289" t="s">
        <v>183</v>
      </c>
      <c r="C13" s="268" t="s">
        <v>270</v>
      </c>
      <c r="D13" s="147" t="s">
        <v>23</v>
      </c>
      <c r="E13" s="148">
        <f>'B3 - MEMORIA'!$G$12</f>
        <v>725</v>
      </c>
      <c r="F13" s="149"/>
      <c r="G13" s="288"/>
    </row>
    <row r="14" spans="1:7" x14ac:dyDescent="0.2">
      <c r="A14" s="146">
        <v>72898</v>
      </c>
      <c r="B14" s="147" t="s">
        <v>619</v>
      </c>
      <c r="C14" s="167" t="s">
        <v>271</v>
      </c>
      <c r="D14" s="147" t="s">
        <v>25</v>
      </c>
      <c r="E14" s="148">
        <f>'B3 - MEMORIA'!$H$16</f>
        <v>94.975000000000009</v>
      </c>
      <c r="F14" s="150"/>
      <c r="G14" s="288"/>
    </row>
    <row r="15" spans="1:7" ht="22.5" x14ac:dyDescent="0.2">
      <c r="A15" s="146">
        <v>99059</v>
      </c>
      <c r="B15" s="289" t="s">
        <v>503</v>
      </c>
      <c r="C15" s="165" t="s">
        <v>520</v>
      </c>
      <c r="D15" s="147" t="s">
        <v>24</v>
      </c>
      <c r="E15" s="287">
        <f>'B3 - MEMORIA'!$H$21</f>
        <v>103</v>
      </c>
      <c r="F15" s="287"/>
      <c r="G15" s="288"/>
    </row>
    <row r="16" spans="1:7" ht="22.5" x14ac:dyDescent="0.2">
      <c r="A16" s="146">
        <v>10775</v>
      </c>
      <c r="B16" s="289" t="s">
        <v>259</v>
      </c>
      <c r="C16" s="165" t="s">
        <v>529</v>
      </c>
      <c r="D16" s="147" t="s">
        <v>117</v>
      </c>
      <c r="E16" s="287">
        <v>4</v>
      </c>
      <c r="F16" s="287"/>
      <c r="G16" s="288"/>
    </row>
    <row r="17" spans="1:18" ht="22.5" x14ac:dyDescent="0.2">
      <c r="A17" s="146">
        <v>10777</v>
      </c>
      <c r="B17" s="147" t="s">
        <v>260</v>
      </c>
      <c r="C17" s="165" t="s">
        <v>530</v>
      </c>
      <c r="D17" s="147" t="s">
        <v>117</v>
      </c>
      <c r="E17" s="287">
        <v>4</v>
      </c>
      <c r="F17" s="287"/>
      <c r="G17" s="288"/>
    </row>
    <row r="18" spans="1:18" x14ac:dyDescent="0.2">
      <c r="A18" s="146">
        <v>41598</v>
      </c>
      <c r="B18" s="147" t="s">
        <v>100</v>
      </c>
      <c r="C18" s="247" t="s">
        <v>523</v>
      </c>
      <c r="D18" s="147" t="s">
        <v>145</v>
      </c>
      <c r="E18" s="287">
        <v>1</v>
      </c>
      <c r="F18" s="287"/>
      <c r="G18" s="288"/>
    </row>
    <row r="19" spans="1:18" x14ac:dyDescent="0.2">
      <c r="A19" s="152" t="str">
        <f>'B5 - COMPOSIÇÃO'!$B$5</f>
        <v>CPU 01/SLU/DF</v>
      </c>
      <c r="B19" s="147" t="s">
        <v>620</v>
      </c>
      <c r="C19" s="165" t="s">
        <v>767</v>
      </c>
      <c r="D19" s="147" t="s">
        <v>145</v>
      </c>
      <c r="E19" s="287">
        <v>1</v>
      </c>
      <c r="F19" s="153"/>
      <c r="G19" s="154"/>
    </row>
    <row r="20" spans="1:18" x14ac:dyDescent="0.2">
      <c r="A20" s="155" t="str">
        <f>'B5 - COMPOSIÇÃO'!$B$15</f>
        <v>CPU 02/SLU/DF</v>
      </c>
      <c r="B20" s="147" t="s">
        <v>132</v>
      </c>
      <c r="C20" s="167" t="s">
        <v>233</v>
      </c>
      <c r="D20" s="147" t="s">
        <v>23</v>
      </c>
      <c r="E20" s="287">
        <f>'B3 - MEMORIA'!$G$10</f>
        <v>662.5</v>
      </c>
      <c r="F20" s="287"/>
      <c r="G20" s="288"/>
    </row>
    <row r="21" spans="1:18" x14ac:dyDescent="0.2">
      <c r="A21" s="155" t="str">
        <f>'B5 - COMPOSIÇÃO'!B20</f>
        <v>CPU 03/SLU/DF</v>
      </c>
      <c r="B21" s="147" t="s">
        <v>232</v>
      </c>
      <c r="C21" s="167" t="s">
        <v>234</v>
      </c>
      <c r="D21" s="147" t="s">
        <v>145</v>
      </c>
      <c r="E21" s="287">
        <v>1</v>
      </c>
      <c r="F21" s="287"/>
      <c r="G21" s="288"/>
    </row>
    <row r="22" spans="1:18" x14ac:dyDescent="0.2">
      <c r="A22" s="155" t="s">
        <v>557</v>
      </c>
      <c r="B22" s="147" t="s">
        <v>621</v>
      </c>
      <c r="C22" s="167" t="s">
        <v>522</v>
      </c>
      <c r="D22" s="147" t="s">
        <v>23</v>
      </c>
      <c r="E22" s="287">
        <f>2*12</f>
        <v>24</v>
      </c>
      <c r="F22" s="287"/>
      <c r="G22" s="288"/>
    </row>
    <row r="23" spans="1:18" x14ac:dyDescent="0.2">
      <c r="A23" s="534" t="s">
        <v>783</v>
      </c>
      <c r="B23" s="534"/>
      <c r="C23" s="534"/>
      <c r="D23" s="534"/>
      <c r="E23" s="534"/>
      <c r="F23" s="535"/>
      <c r="G23" s="535"/>
    </row>
    <row r="24" spans="1:18" s="75" customFormat="1" x14ac:dyDescent="0.2">
      <c r="A24" s="159"/>
      <c r="B24" s="141">
        <v>2</v>
      </c>
      <c r="C24" s="156" t="s">
        <v>18</v>
      </c>
      <c r="D24" s="157"/>
      <c r="E24" s="158"/>
      <c r="F24" s="158"/>
      <c r="G24" s="158"/>
      <c r="H24"/>
      <c r="I24"/>
      <c r="J24"/>
      <c r="K24"/>
      <c r="L24"/>
      <c r="M24"/>
      <c r="N24"/>
      <c r="O24"/>
      <c r="P24"/>
      <c r="Q24"/>
      <c r="R24"/>
    </row>
    <row r="25" spans="1:18" s="75" customFormat="1" x14ac:dyDescent="0.2">
      <c r="A25" s="159"/>
      <c r="B25" s="160" t="s">
        <v>101</v>
      </c>
      <c r="C25" s="161" t="s">
        <v>515</v>
      </c>
      <c r="D25" s="160"/>
      <c r="E25" s="162"/>
      <c r="F25" s="162"/>
      <c r="G25" s="162"/>
      <c r="H25"/>
      <c r="I25"/>
      <c r="J25"/>
      <c r="K25"/>
      <c r="L25"/>
      <c r="M25"/>
      <c r="N25"/>
      <c r="O25"/>
      <c r="P25"/>
      <c r="Q25"/>
      <c r="R25"/>
    </row>
    <row r="26" spans="1:18" ht="22.5" x14ac:dyDescent="0.2">
      <c r="A26" s="155" t="s">
        <v>576</v>
      </c>
      <c r="B26" s="150" t="s">
        <v>661</v>
      </c>
      <c r="C26" s="165" t="s">
        <v>272</v>
      </c>
      <c r="D26" s="487" t="s">
        <v>25</v>
      </c>
      <c r="E26" s="287">
        <f>'B3 - MEMORIA'!$H$25</f>
        <v>67.772000000000006</v>
      </c>
      <c r="F26" s="287"/>
      <c r="G26" s="288"/>
    </row>
    <row r="27" spans="1:18" s="75" customFormat="1" x14ac:dyDescent="0.2">
      <c r="A27" s="159"/>
      <c r="B27" s="160" t="s">
        <v>102</v>
      </c>
      <c r="C27" s="161" t="s">
        <v>516</v>
      </c>
      <c r="D27" s="160"/>
      <c r="E27" s="162"/>
      <c r="F27" s="162"/>
      <c r="G27" s="162"/>
      <c r="H27"/>
      <c r="I27"/>
      <c r="J27"/>
      <c r="K27"/>
      <c r="L27"/>
      <c r="M27"/>
      <c r="N27"/>
      <c r="O27"/>
      <c r="P27"/>
      <c r="Q27"/>
      <c r="R27"/>
    </row>
    <row r="28" spans="1:18" ht="22.5" x14ac:dyDescent="0.2">
      <c r="A28" s="155" t="s">
        <v>576</v>
      </c>
      <c r="B28" s="150" t="s">
        <v>662</v>
      </c>
      <c r="C28" s="165" t="s">
        <v>272</v>
      </c>
      <c r="D28" s="487" t="s">
        <v>25</v>
      </c>
      <c r="E28" s="287">
        <f>'B3 - MEMORIA'!$H$32</f>
        <v>307.61682000000008</v>
      </c>
      <c r="F28" s="287"/>
      <c r="G28" s="288"/>
    </row>
    <row r="29" spans="1:18" ht="22.5" x14ac:dyDescent="0.2">
      <c r="A29" s="152">
        <v>97915</v>
      </c>
      <c r="B29" s="150" t="s">
        <v>663</v>
      </c>
      <c r="C29" s="488" t="s">
        <v>577</v>
      </c>
      <c r="D29" s="487" t="s">
        <v>96</v>
      </c>
      <c r="E29" s="287">
        <f>'B3 - MEMORIA'!$G$36</f>
        <v>6767.5700400000014</v>
      </c>
      <c r="F29" s="287"/>
      <c r="G29" s="288"/>
    </row>
    <row r="30" spans="1:18" x14ac:dyDescent="0.2">
      <c r="A30" s="152">
        <v>4743</v>
      </c>
      <c r="B30" s="150" t="s">
        <v>664</v>
      </c>
      <c r="C30" s="488" t="s">
        <v>526</v>
      </c>
      <c r="D30" s="487" t="s">
        <v>25</v>
      </c>
      <c r="E30" s="287">
        <f>'B3 - MEMORIA'!$H$28</f>
        <v>234.82200000000003</v>
      </c>
      <c r="F30" s="287"/>
      <c r="G30" s="288"/>
    </row>
    <row r="31" spans="1:18" x14ac:dyDescent="0.2">
      <c r="A31" s="155">
        <v>41721</v>
      </c>
      <c r="B31" s="150" t="s">
        <v>665</v>
      </c>
      <c r="C31" s="165" t="s">
        <v>98</v>
      </c>
      <c r="D31" s="487" t="s">
        <v>25</v>
      </c>
      <c r="E31" s="287">
        <f>'B3 - MEMORIA'!$H$28</f>
        <v>234.82200000000003</v>
      </c>
      <c r="F31" s="287"/>
      <c r="G31" s="288"/>
    </row>
    <row r="32" spans="1:18" x14ac:dyDescent="0.2">
      <c r="A32" s="534" t="s">
        <v>784</v>
      </c>
      <c r="B32" s="534"/>
      <c r="C32" s="534"/>
      <c r="D32" s="534"/>
      <c r="E32" s="534"/>
      <c r="F32" s="535"/>
      <c r="G32" s="535"/>
    </row>
    <row r="33" spans="1:18" s="75" customFormat="1" x14ac:dyDescent="0.2">
      <c r="A33" s="159"/>
      <c r="B33" s="141">
        <v>3</v>
      </c>
      <c r="C33" s="156" t="s">
        <v>143</v>
      </c>
      <c r="D33" s="157"/>
      <c r="E33" s="158"/>
      <c r="F33" s="158"/>
      <c r="G33" s="158"/>
      <c r="H33"/>
      <c r="I33"/>
      <c r="J33"/>
      <c r="K33"/>
      <c r="L33"/>
      <c r="M33"/>
      <c r="N33"/>
      <c r="O33"/>
      <c r="P33"/>
      <c r="Q33"/>
      <c r="R33"/>
    </row>
    <row r="34" spans="1:18" ht="22.5" x14ac:dyDescent="0.2">
      <c r="A34" s="163" t="str">
        <f>'B5 - COMPOSIÇÃO'!$B$24</f>
        <v>CPU 04/SLU/DF</v>
      </c>
      <c r="B34" s="147" t="s">
        <v>186</v>
      </c>
      <c r="C34" s="175" t="s">
        <v>532</v>
      </c>
      <c r="D34" s="147" t="s">
        <v>24</v>
      </c>
      <c r="E34" s="287">
        <f>'B3 - MEMORIA'!$I$44</f>
        <v>96</v>
      </c>
      <c r="F34" s="287"/>
      <c r="G34" s="288"/>
    </row>
    <row r="35" spans="1:18" x14ac:dyDescent="0.2">
      <c r="A35" s="163" t="str">
        <f>'B5 - COMPOSIÇÃO'!$B$37</f>
        <v>CPU 05/SLU/DF</v>
      </c>
      <c r="B35" s="147" t="s">
        <v>622</v>
      </c>
      <c r="C35" s="175" t="s">
        <v>154</v>
      </c>
      <c r="D35" s="147" t="s">
        <v>145</v>
      </c>
      <c r="E35" s="287">
        <v>1</v>
      </c>
      <c r="F35" s="287"/>
      <c r="G35" s="288"/>
    </row>
    <row r="36" spans="1:18" x14ac:dyDescent="0.2">
      <c r="A36" s="163" t="str">
        <f>'B5 - COMPOSIÇÃO'!$B$49</f>
        <v>CPU 06/SLU/DF</v>
      </c>
      <c r="B36" s="147" t="s">
        <v>426</v>
      </c>
      <c r="C36" s="175" t="s">
        <v>387</v>
      </c>
      <c r="D36" s="147" t="s">
        <v>145</v>
      </c>
      <c r="E36" s="287">
        <v>1</v>
      </c>
      <c r="F36" s="287"/>
      <c r="G36" s="288"/>
    </row>
    <row r="37" spans="1:18" x14ac:dyDescent="0.2">
      <c r="A37" s="534" t="s">
        <v>184</v>
      </c>
      <c r="B37" s="534"/>
      <c r="C37" s="534"/>
      <c r="D37" s="534"/>
      <c r="E37" s="534"/>
      <c r="F37" s="535"/>
      <c r="G37" s="535"/>
    </row>
    <row r="38" spans="1:18" s="75" customFormat="1" x14ac:dyDescent="0.2">
      <c r="A38" s="159"/>
      <c r="B38" s="141">
        <v>4</v>
      </c>
      <c r="C38" s="142" t="s">
        <v>3</v>
      </c>
      <c r="D38" s="157"/>
      <c r="E38" s="158"/>
      <c r="F38" s="158"/>
      <c r="G38" s="15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164" t="str">
        <f>'B4 - BAIAS'!$A$7</f>
        <v>CPU-B1/SLU/DF</v>
      </c>
      <c r="B39" s="147" t="s">
        <v>187</v>
      </c>
      <c r="C39" s="167" t="s">
        <v>78</v>
      </c>
      <c r="D39" s="147" t="s">
        <v>24</v>
      </c>
      <c r="E39" s="287">
        <f>'B4 - BAIAS'!$F$21</f>
        <v>180</v>
      </c>
      <c r="F39" s="287"/>
      <c r="G39" s="288"/>
    </row>
    <row r="40" spans="1:18" x14ac:dyDescent="0.2">
      <c r="A40" s="164" t="str">
        <f>'B4 - BAIAS'!$A$28</f>
        <v>CPU-B2/SLU/DF</v>
      </c>
      <c r="B40" s="147" t="s">
        <v>188</v>
      </c>
      <c r="C40" s="167" t="s">
        <v>92</v>
      </c>
      <c r="D40" s="147" t="s">
        <v>24</v>
      </c>
      <c r="E40" s="149">
        <f>'B4 - BAIAS'!$G$43</f>
        <v>70.2</v>
      </c>
      <c r="F40" s="287"/>
      <c r="G40" s="288"/>
    </row>
    <row r="41" spans="1:18" x14ac:dyDescent="0.2">
      <c r="A41" s="155" t="str">
        <f>'B4 - BAIAS'!$A$50</f>
        <v>CPU-B3/SLU/DF</v>
      </c>
      <c r="B41" s="147" t="s">
        <v>189</v>
      </c>
      <c r="C41" s="167" t="s">
        <v>93</v>
      </c>
      <c r="D41" s="147" t="s">
        <v>24</v>
      </c>
      <c r="E41" s="287">
        <f>'B4 - BAIAS'!$G$65</f>
        <v>22.8</v>
      </c>
      <c r="F41" s="287"/>
      <c r="G41" s="288"/>
    </row>
    <row r="42" spans="1:18" x14ac:dyDescent="0.2">
      <c r="A42" s="155">
        <v>4305</v>
      </c>
      <c r="B42" s="147" t="s">
        <v>190</v>
      </c>
      <c r="C42" s="167" t="s">
        <v>113</v>
      </c>
      <c r="D42" s="147" t="s">
        <v>145</v>
      </c>
      <c r="E42" s="287">
        <f>((3+2)+(14+8)+(2+2))*8</f>
        <v>248</v>
      </c>
      <c r="F42" s="287"/>
      <c r="G42" s="288"/>
    </row>
    <row r="43" spans="1:18" x14ac:dyDescent="0.2">
      <c r="A43" s="155" t="str">
        <f>'B4 - BAIAS'!$A$70</f>
        <v>CPU-B4/SLU/DF</v>
      </c>
      <c r="B43" s="147" t="s">
        <v>191</v>
      </c>
      <c r="C43" s="480" t="s">
        <v>4</v>
      </c>
      <c r="D43" s="147" t="s">
        <v>23</v>
      </c>
      <c r="E43" s="287">
        <v>18</v>
      </c>
      <c r="F43" s="287"/>
      <c r="G43" s="288"/>
    </row>
    <row r="44" spans="1:18" x14ac:dyDescent="0.2">
      <c r="A44" s="155" t="s">
        <v>579</v>
      </c>
      <c r="B44" s="147" t="s">
        <v>192</v>
      </c>
      <c r="C44" s="176" t="s">
        <v>161</v>
      </c>
      <c r="D44" s="147" t="s">
        <v>23</v>
      </c>
      <c r="E44" s="287">
        <f>'B4 - BAIAS'!$G$84</f>
        <v>167.732</v>
      </c>
      <c r="F44" s="287"/>
      <c r="G44" s="288"/>
    </row>
    <row r="45" spans="1:18" x14ac:dyDescent="0.2">
      <c r="A45" s="534" t="s">
        <v>185</v>
      </c>
      <c r="B45" s="534"/>
      <c r="C45" s="534"/>
      <c r="D45" s="534"/>
      <c r="E45" s="534"/>
      <c r="F45" s="535"/>
      <c r="G45" s="535"/>
    </row>
    <row r="46" spans="1:18" s="75" customFormat="1" x14ac:dyDescent="0.2">
      <c r="A46" s="159"/>
      <c r="B46" s="141">
        <v>5</v>
      </c>
      <c r="C46" s="142" t="s">
        <v>174</v>
      </c>
      <c r="D46" s="157"/>
      <c r="E46" s="158"/>
      <c r="F46" s="158"/>
      <c r="G46" s="158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152">
        <v>92394</v>
      </c>
      <c r="B47" s="150" t="s">
        <v>193</v>
      </c>
      <c r="C47" s="167" t="s">
        <v>762</v>
      </c>
      <c r="D47" s="150" t="s">
        <v>23</v>
      </c>
      <c r="E47" s="287">
        <f>'B3 - MEMORIA'!$H$48</f>
        <v>35.51</v>
      </c>
      <c r="F47" s="287"/>
      <c r="G47" s="287"/>
    </row>
    <row r="48" spans="1:18" x14ac:dyDescent="0.2">
      <c r="A48" s="155">
        <v>93596</v>
      </c>
      <c r="B48" s="150" t="s">
        <v>194</v>
      </c>
      <c r="C48" s="165" t="s">
        <v>273</v>
      </c>
      <c r="D48" s="150" t="s">
        <v>274</v>
      </c>
      <c r="E48" s="287">
        <f>'B3 - MEMORIA'!$G$40</f>
        <v>6767.5700400000014</v>
      </c>
      <c r="F48" s="287"/>
      <c r="G48" s="287"/>
    </row>
    <row r="49" spans="1:18" x14ac:dyDescent="0.2">
      <c r="A49" s="155">
        <v>94263</v>
      </c>
      <c r="B49" s="150" t="s">
        <v>275</v>
      </c>
      <c r="C49" s="167" t="s">
        <v>276</v>
      </c>
      <c r="D49" s="150" t="s">
        <v>24</v>
      </c>
      <c r="E49" s="287">
        <f>'B3 - MEMORIA'!$H$56</f>
        <v>113.83000000000001</v>
      </c>
      <c r="F49" s="287"/>
      <c r="G49" s="287"/>
    </row>
    <row r="50" spans="1:18" x14ac:dyDescent="0.2">
      <c r="A50" s="152" t="str">
        <f>'B5 - COMPOSIÇÃO'!B61</f>
        <v>CPU 07/SLU/DF</v>
      </c>
      <c r="B50" s="150" t="s">
        <v>427</v>
      </c>
      <c r="C50" s="165" t="s">
        <v>269</v>
      </c>
      <c r="D50" s="150" t="s">
        <v>24</v>
      </c>
      <c r="E50" s="287">
        <v>17.649999999999999</v>
      </c>
      <c r="F50" s="287"/>
      <c r="G50" s="287"/>
    </row>
    <row r="51" spans="1:18" x14ac:dyDescent="0.2">
      <c r="A51" s="534" t="s">
        <v>785</v>
      </c>
      <c r="B51" s="534"/>
      <c r="C51" s="534"/>
      <c r="D51" s="534"/>
      <c r="E51" s="534"/>
      <c r="F51" s="535"/>
      <c r="G51" s="535"/>
    </row>
    <row r="52" spans="1:18" s="75" customFormat="1" x14ac:dyDescent="0.2">
      <c r="A52" s="481"/>
      <c r="B52" s="141">
        <v>6</v>
      </c>
      <c r="C52" s="166" t="s">
        <v>6</v>
      </c>
      <c r="D52" s="157"/>
      <c r="E52" s="158"/>
      <c r="F52" s="158"/>
      <c r="G52" s="158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146">
        <v>98509</v>
      </c>
      <c r="B53" s="150" t="s">
        <v>27</v>
      </c>
      <c r="C53" s="165" t="s">
        <v>544</v>
      </c>
      <c r="D53" s="150" t="s">
        <v>145</v>
      </c>
      <c r="E53" s="287">
        <f>'B3 - MEMORIA'!$H$52</f>
        <v>192</v>
      </c>
      <c r="F53" s="287"/>
      <c r="G53" s="287"/>
    </row>
    <row r="54" spans="1:18" x14ac:dyDescent="0.2">
      <c r="A54" s="155">
        <v>98504</v>
      </c>
      <c r="B54" s="150" t="s">
        <v>28</v>
      </c>
      <c r="C54" s="167" t="s">
        <v>543</v>
      </c>
      <c r="D54" s="150" t="s">
        <v>23</v>
      </c>
      <c r="E54" s="287">
        <f>'B3 - MEMORIA'!$I$44</f>
        <v>96</v>
      </c>
      <c r="F54" s="287"/>
      <c r="G54" s="287"/>
    </row>
    <row r="55" spans="1:18" x14ac:dyDescent="0.2">
      <c r="A55" s="534" t="s">
        <v>786</v>
      </c>
      <c r="B55" s="534"/>
      <c r="C55" s="534"/>
      <c r="D55" s="534"/>
      <c r="E55" s="534"/>
      <c r="F55" s="535"/>
      <c r="G55" s="535"/>
    </row>
    <row r="56" spans="1:18" s="75" customFormat="1" x14ac:dyDescent="0.2">
      <c r="A56" s="159"/>
      <c r="B56" s="141">
        <v>7</v>
      </c>
      <c r="C56" s="142" t="s">
        <v>7</v>
      </c>
      <c r="D56" s="157"/>
      <c r="E56" s="168"/>
      <c r="F56" s="169"/>
      <c r="G56" s="158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159"/>
      <c r="B57" s="170" t="s">
        <v>29</v>
      </c>
      <c r="C57" s="171" t="s">
        <v>656</v>
      </c>
      <c r="D57" s="160"/>
      <c r="E57" s="172"/>
      <c r="F57" s="173"/>
      <c r="G57" s="162"/>
    </row>
    <row r="58" spans="1:18" ht="22.5" x14ac:dyDescent="0.2">
      <c r="A58" s="155">
        <v>92259</v>
      </c>
      <c r="B58" s="174" t="s">
        <v>655</v>
      </c>
      <c r="C58" s="175" t="s">
        <v>558</v>
      </c>
      <c r="D58" s="150" t="s">
        <v>145</v>
      </c>
      <c r="E58" s="287">
        <v>2</v>
      </c>
      <c r="F58" s="287"/>
      <c r="G58" s="288"/>
    </row>
    <row r="59" spans="1:18" x14ac:dyDescent="0.2">
      <c r="A59" s="155">
        <v>92580</v>
      </c>
      <c r="B59" s="174" t="s">
        <v>195</v>
      </c>
      <c r="C59" s="175" t="s">
        <v>739</v>
      </c>
      <c r="D59" s="150" t="s">
        <v>23</v>
      </c>
      <c r="E59" s="287">
        <f>'B3 - MEMORIA'!$H$171</f>
        <v>73.259199999999993</v>
      </c>
      <c r="F59" s="287"/>
      <c r="G59" s="288"/>
    </row>
    <row r="60" spans="1:18" ht="22.5" x14ac:dyDescent="0.2">
      <c r="A60" s="155">
        <v>94207</v>
      </c>
      <c r="B60" s="174" t="s">
        <v>196</v>
      </c>
      <c r="C60" s="165" t="s">
        <v>304</v>
      </c>
      <c r="D60" s="150" t="s">
        <v>23</v>
      </c>
      <c r="E60" s="287">
        <f>'B3 - MEMORIA'!$H$171</f>
        <v>73.259199999999993</v>
      </c>
      <c r="F60" s="287"/>
      <c r="G60" s="288"/>
    </row>
    <row r="61" spans="1:18" x14ac:dyDescent="0.2">
      <c r="A61" s="146">
        <v>88487</v>
      </c>
      <c r="B61" s="174" t="s">
        <v>740</v>
      </c>
      <c r="C61" s="176" t="s">
        <v>33</v>
      </c>
      <c r="D61" s="150" t="s">
        <v>23</v>
      </c>
      <c r="E61" s="287">
        <f>'B3 - MEMORIA'!$H$191</f>
        <v>143.63999999999999</v>
      </c>
      <c r="F61" s="287"/>
      <c r="G61" s="288"/>
    </row>
    <row r="62" spans="1:18" x14ac:dyDescent="0.2">
      <c r="A62" s="159"/>
      <c r="B62" s="170" t="s">
        <v>175</v>
      </c>
      <c r="C62" s="171" t="s">
        <v>0</v>
      </c>
      <c r="D62" s="160"/>
      <c r="E62" s="162"/>
      <c r="F62" s="162"/>
      <c r="G62" s="162"/>
    </row>
    <row r="63" spans="1:18" x14ac:dyDescent="0.2">
      <c r="A63" s="155">
        <v>93358</v>
      </c>
      <c r="B63" s="150" t="s">
        <v>197</v>
      </c>
      <c r="C63" s="165" t="s">
        <v>277</v>
      </c>
      <c r="D63" s="150" t="s">
        <v>25</v>
      </c>
      <c r="E63" s="287">
        <f>'B3 - MEMORIA'!$E$69</f>
        <v>5.1916999999999991</v>
      </c>
      <c r="F63" s="287"/>
      <c r="G63" s="177"/>
    </row>
    <row r="64" spans="1:18" x14ac:dyDescent="0.2">
      <c r="A64" s="155" t="str">
        <f>'B5 - COMPOSIÇÃO'!B70</f>
        <v>CPU 08/SLU/DF</v>
      </c>
      <c r="B64" s="150" t="s">
        <v>198</v>
      </c>
      <c r="C64" s="165" t="s">
        <v>278</v>
      </c>
      <c r="D64" s="150" t="s">
        <v>8</v>
      </c>
      <c r="E64" s="287">
        <f>'B3 - MEMORIA'!$J$68*2.5</f>
        <v>20</v>
      </c>
      <c r="F64" s="287"/>
      <c r="G64" s="288"/>
    </row>
    <row r="65" spans="1:18" ht="22.5" x14ac:dyDescent="0.2">
      <c r="A65" s="155">
        <v>94107</v>
      </c>
      <c r="B65" s="150" t="s">
        <v>199</v>
      </c>
      <c r="C65" s="165" t="s">
        <v>578</v>
      </c>
      <c r="D65" s="150" t="s">
        <v>25</v>
      </c>
      <c r="E65" s="287">
        <f>'B3 - MEMORIA'!$G$69</f>
        <v>0.30265000000000003</v>
      </c>
      <c r="F65" s="287"/>
      <c r="G65" s="177"/>
    </row>
    <row r="66" spans="1:18" ht="22.5" x14ac:dyDescent="0.2">
      <c r="A66" s="152">
        <v>96536</v>
      </c>
      <c r="B66" s="150" t="s">
        <v>200</v>
      </c>
      <c r="C66" s="165" t="s">
        <v>545</v>
      </c>
      <c r="D66" s="150" t="s">
        <v>23</v>
      </c>
      <c r="E66" s="287">
        <f>'B3 - MEMORIA'!$F$69</f>
        <v>21.652000000000001</v>
      </c>
      <c r="F66" s="287"/>
      <c r="G66" s="177"/>
    </row>
    <row r="67" spans="1:18" x14ac:dyDescent="0.2">
      <c r="A67" s="155">
        <v>92882</v>
      </c>
      <c r="B67" s="150" t="s">
        <v>657</v>
      </c>
      <c r="C67" s="175" t="s">
        <v>561</v>
      </c>
      <c r="D67" s="150" t="s">
        <v>2</v>
      </c>
      <c r="E67" s="148">
        <f>'B3 - MEMORIA'!$H$177</f>
        <v>81.695249999999973</v>
      </c>
      <c r="F67" s="287"/>
      <c r="G67" s="177"/>
    </row>
    <row r="68" spans="1:18" ht="22.5" x14ac:dyDescent="0.2">
      <c r="A68" s="155">
        <v>94969</v>
      </c>
      <c r="B68" s="150" t="s">
        <v>201</v>
      </c>
      <c r="C68" s="175" t="s">
        <v>279</v>
      </c>
      <c r="D68" s="150" t="s">
        <v>25</v>
      </c>
      <c r="E68" s="148">
        <f>'B3 - MEMORIA'!$H$69</f>
        <v>1.9439000000000002</v>
      </c>
      <c r="F68" s="287"/>
      <c r="G68" s="177"/>
    </row>
    <row r="69" spans="1:18" x14ac:dyDescent="0.2">
      <c r="A69" s="155">
        <v>96546</v>
      </c>
      <c r="B69" s="150" t="s">
        <v>202</v>
      </c>
      <c r="C69" s="175" t="s">
        <v>562</v>
      </c>
      <c r="D69" s="150" t="s">
        <v>23</v>
      </c>
      <c r="E69" s="287">
        <f>'B3 - MEMORIA'!$H$183</f>
        <v>121.05539999999999</v>
      </c>
      <c r="F69" s="287"/>
      <c r="G69" s="288"/>
    </row>
    <row r="70" spans="1:18" x14ac:dyDescent="0.2">
      <c r="A70" s="155" t="s">
        <v>565</v>
      </c>
      <c r="B70" s="150" t="s">
        <v>428</v>
      </c>
      <c r="C70" s="311" t="s">
        <v>236</v>
      </c>
      <c r="D70" s="150" t="s">
        <v>23</v>
      </c>
      <c r="E70" s="148">
        <f>'B3 - MEMORIA'!$H$187</f>
        <v>23.072500000000002</v>
      </c>
      <c r="F70" s="287"/>
      <c r="G70" s="177"/>
    </row>
    <row r="71" spans="1:18" x14ac:dyDescent="0.2">
      <c r="A71" s="155">
        <v>93382</v>
      </c>
      <c r="B71" s="150" t="s">
        <v>203</v>
      </c>
      <c r="C71" s="165" t="s">
        <v>237</v>
      </c>
      <c r="D71" s="150" t="s">
        <v>25</v>
      </c>
      <c r="E71" s="148">
        <f>'B3 - MEMORIA'!$I$69</f>
        <v>3.2477999999999998</v>
      </c>
      <c r="F71" s="287"/>
      <c r="G71" s="177"/>
    </row>
    <row r="72" spans="1:18" x14ac:dyDescent="0.2">
      <c r="A72" s="159"/>
      <c r="B72" s="170" t="s">
        <v>658</v>
      </c>
      <c r="C72" s="171" t="s">
        <v>9</v>
      </c>
      <c r="D72" s="160"/>
      <c r="E72" s="172"/>
      <c r="F72" s="162"/>
      <c r="G72" s="162"/>
    </row>
    <row r="73" spans="1:18" ht="22.5" x14ac:dyDescent="0.2">
      <c r="A73" s="155">
        <v>87471</v>
      </c>
      <c r="B73" s="150" t="s">
        <v>204</v>
      </c>
      <c r="C73" s="165" t="s">
        <v>801</v>
      </c>
      <c r="D73" s="150" t="s">
        <v>23</v>
      </c>
      <c r="E73" s="148">
        <f>'B3 - MEMORIA'!$H$122</f>
        <v>99.960000000000008</v>
      </c>
      <c r="F73" s="287"/>
      <c r="G73" s="287"/>
    </row>
    <row r="74" spans="1:18" x14ac:dyDescent="0.2">
      <c r="A74" s="159"/>
      <c r="B74" s="170" t="s">
        <v>205</v>
      </c>
      <c r="C74" s="171" t="s">
        <v>10</v>
      </c>
      <c r="D74" s="160"/>
      <c r="E74" s="172"/>
      <c r="F74" s="162"/>
      <c r="G74" s="162"/>
    </row>
    <row r="75" spans="1:18" ht="22.5" x14ac:dyDescent="0.2">
      <c r="A75" s="155">
        <v>98680</v>
      </c>
      <c r="B75" s="150" t="s">
        <v>206</v>
      </c>
      <c r="C75" s="165" t="s">
        <v>546</v>
      </c>
      <c r="D75" s="150" t="s">
        <v>23</v>
      </c>
      <c r="E75" s="148">
        <f>'B3 - MEMORIA'!$H$76</f>
        <v>44.149500000000003</v>
      </c>
      <c r="F75" s="287"/>
      <c r="G75" s="287"/>
    </row>
    <row r="76" spans="1:18" x14ac:dyDescent="0.2">
      <c r="A76" s="155">
        <v>87249</v>
      </c>
      <c r="B76" s="150" t="s">
        <v>217</v>
      </c>
      <c r="C76" s="165" t="s">
        <v>56</v>
      </c>
      <c r="D76" s="150" t="s">
        <v>23</v>
      </c>
      <c r="E76" s="148">
        <f>'B3 - MEMORIA'!$G$84</f>
        <v>19</v>
      </c>
      <c r="F76" s="287"/>
      <c r="G76" s="287"/>
    </row>
    <row r="77" spans="1:18" ht="22.5" x14ac:dyDescent="0.2">
      <c r="A77" s="155">
        <v>87692</v>
      </c>
      <c r="B77" s="150" t="s">
        <v>659</v>
      </c>
      <c r="C77" s="165" t="s">
        <v>310</v>
      </c>
      <c r="D77" s="150" t="s">
        <v>23</v>
      </c>
      <c r="E77" s="148">
        <f>$E$75+$E$76</f>
        <v>63.149500000000003</v>
      </c>
      <c r="F77" s="287"/>
      <c r="G77" s="287"/>
    </row>
    <row r="78" spans="1:18" s="120" customFormat="1" x14ac:dyDescent="0.2">
      <c r="A78" s="178"/>
      <c r="B78" s="170" t="s">
        <v>207</v>
      </c>
      <c r="C78" s="171" t="s">
        <v>11</v>
      </c>
      <c r="D78" s="179"/>
      <c r="E78" s="180"/>
      <c r="F78" s="181"/>
      <c r="G78" s="181"/>
      <c r="H78"/>
      <c r="I78"/>
      <c r="J78"/>
      <c r="K78"/>
      <c r="L78"/>
      <c r="M78"/>
      <c r="N78"/>
      <c r="O78"/>
      <c r="P78"/>
      <c r="Q78"/>
      <c r="R78"/>
    </row>
    <row r="79" spans="1:18" ht="22.5" x14ac:dyDescent="0.2">
      <c r="A79" s="155" t="s">
        <v>564</v>
      </c>
      <c r="B79" s="150" t="s">
        <v>208</v>
      </c>
      <c r="C79" s="165" t="s">
        <v>20</v>
      </c>
      <c r="D79" s="150" t="s">
        <v>23</v>
      </c>
      <c r="E79" s="148">
        <f>'B3 - MEMORIA'!$H$89</f>
        <v>23.38</v>
      </c>
      <c r="F79" s="287"/>
      <c r="G79" s="287"/>
    </row>
    <row r="80" spans="1:18" x14ac:dyDescent="0.2">
      <c r="A80" s="159"/>
      <c r="B80" s="170" t="s">
        <v>660</v>
      </c>
      <c r="C80" s="171" t="s">
        <v>12</v>
      </c>
      <c r="D80" s="160"/>
      <c r="E80" s="172"/>
      <c r="F80" s="162"/>
      <c r="G80" s="162"/>
    </row>
    <row r="81" spans="1:7" x14ac:dyDescent="0.2">
      <c r="A81" s="155">
        <v>91341</v>
      </c>
      <c r="B81" s="150" t="s">
        <v>209</v>
      </c>
      <c r="C81" s="311" t="s">
        <v>802</v>
      </c>
      <c r="D81" s="150" t="s">
        <v>145</v>
      </c>
      <c r="E81" s="148">
        <v>4</v>
      </c>
      <c r="F81" s="287"/>
      <c r="G81" s="287"/>
    </row>
    <row r="82" spans="1:7" ht="22.5" x14ac:dyDescent="0.2">
      <c r="A82" s="155">
        <v>94570</v>
      </c>
      <c r="B82" s="150" t="s">
        <v>210</v>
      </c>
      <c r="C82" s="311" t="s">
        <v>560</v>
      </c>
      <c r="D82" s="150" t="s">
        <v>23</v>
      </c>
      <c r="E82" s="148">
        <v>2.88</v>
      </c>
      <c r="F82" s="287"/>
      <c r="G82" s="287"/>
    </row>
    <row r="83" spans="1:7" x14ac:dyDescent="0.2">
      <c r="A83" s="155" t="str">
        <f>'B5 - COMPOSIÇÃO'!$B$76</f>
        <v>CPU 09/SLU/DF</v>
      </c>
      <c r="B83" s="150" t="s">
        <v>211</v>
      </c>
      <c r="C83" s="311" t="str">
        <f>'B5 - COMPOSIÇÃO'!B78</f>
        <v>JANELA ALUMINIO BASCULANTE 80 X 60 CM (AXL)</v>
      </c>
      <c r="D83" s="150" t="s">
        <v>145</v>
      </c>
      <c r="E83" s="148">
        <v>2</v>
      </c>
      <c r="F83" s="287"/>
      <c r="G83" s="287"/>
    </row>
    <row r="84" spans="1:7" x14ac:dyDescent="0.2">
      <c r="A84" s="159"/>
      <c r="B84" s="170" t="s">
        <v>212</v>
      </c>
      <c r="C84" s="182" t="s">
        <v>13</v>
      </c>
      <c r="D84" s="160"/>
      <c r="E84" s="162"/>
      <c r="F84" s="162"/>
      <c r="G84" s="162"/>
    </row>
    <row r="85" spans="1:7" ht="22.5" x14ac:dyDescent="0.2">
      <c r="A85" s="155">
        <v>87905</v>
      </c>
      <c r="B85" s="150" t="s">
        <v>213</v>
      </c>
      <c r="C85" s="311" t="s">
        <v>238</v>
      </c>
      <c r="D85" s="150" t="s">
        <v>23</v>
      </c>
      <c r="E85" s="287">
        <f>'B3 - MEMORIA'!$H$191</f>
        <v>143.63999999999999</v>
      </c>
      <c r="F85" s="287"/>
      <c r="G85" s="287"/>
    </row>
    <row r="86" spans="1:7" ht="22.5" x14ac:dyDescent="0.2">
      <c r="A86" s="155">
        <v>84072</v>
      </c>
      <c r="B86" s="150" t="s">
        <v>214</v>
      </c>
      <c r="C86" s="165" t="s">
        <v>311</v>
      </c>
      <c r="D86" s="150" t="s">
        <v>23</v>
      </c>
      <c r="E86" s="287">
        <f>'B3 - MEMORIA'!$H$192</f>
        <v>25.103999999999996</v>
      </c>
      <c r="F86" s="287"/>
      <c r="G86" s="287"/>
    </row>
    <row r="87" spans="1:7" ht="33.75" x14ac:dyDescent="0.2">
      <c r="A87" s="155">
        <v>87546</v>
      </c>
      <c r="B87" s="150" t="s">
        <v>215</v>
      </c>
      <c r="C87" s="165" t="s">
        <v>761</v>
      </c>
      <c r="D87" s="150" t="s">
        <v>23</v>
      </c>
      <c r="E87" s="287">
        <f>'B3 - MEMORIA'!$H$192</f>
        <v>25.103999999999996</v>
      </c>
      <c r="F87" s="287"/>
      <c r="G87" s="287"/>
    </row>
    <row r="88" spans="1:7" ht="22.5" x14ac:dyDescent="0.2">
      <c r="A88" s="155">
        <v>87248</v>
      </c>
      <c r="B88" s="150" t="s">
        <v>216</v>
      </c>
      <c r="C88" s="311" t="s">
        <v>312</v>
      </c>
      <c r="D88" s="150" t="s">
        <v>23</v>
      </c>
      <c r="E88" s="287">
        <f>'B3 - MEMORIA'!$H$192</f>
        <v>25.103999999999996</v>
      </c>
      <c r="F88" s="287"/>
      <c r="G88" s="287"/>
    </row>
    <row r="89" spans="1:7" x14ac:dyDescent="0.2">
      <c r="A89" s="159"/>
      <c r="B89" s="170" t="s">
        <v>218</v>
      </c>
      <c r="C89" s="183" t="s">
        <v>14</v>
      </c>
      <c r="D89" s="160"/>
      <c r="E89" s="162"/>
      <c r="F89" s="162"/>
      <c r="G89" s="162"/>
    </row>
    <row r="90" spans="1:7" ht="33.75" x14ac:dyDescent="0.2">
      <c r="A90" s="155">
        <v>90105</v>
      </c>
      <c r="B90" s="150" t="s">
        <v>219</v>
      </c>
      <c r="C90" s="311" t="s">
        <v>325</v>
      </c>
      <c r="D90" s="150" t="s">
        <v>25</v>
      </c>
      <c r="E90" s="287">
        <f>'B3 - MEMORIA'!$F$93</f>
        <v>23.82</v>
      </c>
      <c r="F90" s="287"/>
      <c r="G90" s="287"/>
    </row>
    <row r="91" spans="1:7" ht="33.75" x14ac:dyDescent="0.2">
      <c r="A91" s="155">
        <v>93369</v>
      </c>
      <c r="B91" s="150" t="s">
        <v>220</v>
      </c>
      <c r="C91" s="311" t="s">
        <v>327</v>
      </c>
      <c r="D91" s="150" t="s">
        <v>25</v>
      </c>
      <c r="E91" s="287">
        <f>'B3 - MEMORIA'!$F$93</f>
        <v>23.82</v>
      </c>
      <c r="F91" s="287"/>
      <c r="G91" s="287"/>
    </row>
    <row r="92" spans="1:7" ht="22.5" x14ac:dyDescent="0.2">
      <c r="A92" s="155" t="s">
        <v>566</v>
      </c>
      <c r="B92" s="150" t="s">
        <v>221</v>
      </c>
      <c r="C92" s="311" t="s">
        <v>170</v>
      </c>
      <c r="D92" s="150" t="s">
        <v>24</v>
      </c>
      <c r="E92" s="287">
        <f>'B3 - MEMORIA'!$F$93</f>
        <v>23.82</v>
      </c>
      <c r="F92" s="287"/>
      <c r="G92" s="287"/>
    </row>
    <row r="93" spans="1:7" ht="22.5" x14ac:dyDescent="0.2">
      <c r="A93" s="155">
        <v>91932</v>
      </c>
      <c r="B93" s="150" t="s">
        <v>222</v>
      </c>
      <c r="C93" s="311" t="s">
        <v>398</v>
      </c>
      <c r="D93" s="150" t="s">
        <v>24</v>
      </c>
      <c r="E93" s="287">
        <f>'B3 - MEMORIA'!$F$100</f>
        <v>23.82</v>
      </c>
      <c r="F93" s="287"/>
      <c r="G93" s="287"/>
    </row>
    <row r="94" spans="1:7" ht="22.5" x14ac:dyDescent="0.2">
      <c r="A94" s="155" t="str">
        <f>'B5 - COMPOSIÇÃO'!$B$113</f>
        <v>CPU 14/SLU/DF</v>
      </c>
      <c r="B94" s="150" t="s">
        <v>223</v>
      </c>
      <c r="C94" s="311" t="s">
        <v>169</v>
      </c>
      <c r="D94" s="150" t="s">
        <v>145</v>
      </c>
      <c r="E94" s="287">
        <v>1</v>
      </c>
      <c r="F94" s="287"/>
      <c r="G94" s="287"/>
    </row>
    <row r="95" spans="1:7" x14ac:dyDescent="0.2">
      <c r="A95" s="155" t="s">
        <v>798</v>
      </c>
      <c r="B95" s="150" t="s">
        <v>224</v>
      </c>
      <c r="C95" s="311" t="s">
        <v>399</v>
      </c>
      <c r="D95" s="150" t="s">
        <v>145</v>
      </c>
      <c r="E95" s="287">
        <v>1</v>
      </c>
      <c r="F95" s="287"/>
      <c r="G95" s="287"/>
    </row>
    <row r="96" spans="1:7" x14ac:dyDescent="0.2">
      <c r="A96" s="159"/>
      <c r="B96" s="170" t="s">
        <v>225</v>
      </c>
      <c r="C96" s="489" t="s">
        <v>341</v>
      </c>
      <c r="D96" s="160"/>
      <c r="E96" s="162"/>
      <c r="F96" s="162"/>
      <c r="G96" s="162"/>
    </row>
    <row r="97" spans="1:7" ht="22.5" x14ac:dyDescent="0.2">
      <c r="A97" s="155">
        <v>84402</v>
      </c>
      <c r="B97" s="150" t="s">
        <v>324</v>
      </c>
      <c r="C97" s="311" t="s">
        <v>400</v>
      </c>
      <c r="D97" s="287" t="s">
        <v>145</v>
      </c>
      <c r="E97" s="287">
        <v>1</v>
      </c>
      <c r="F97" s="287"/>
      <c r="G97" s="287"/>
    </row>
    <row r="98" spans="1:7" ht="22.5" x14ac:dyDescent="0.2">
      <c r="A98" s="155" t="s">
        <v>566</v>
      </c>
      <c r="B98" s="150" t="s">
        <v>326</v>
      </c>
      <c r="C98" s="311" t="s">
        <v>170</v>
      </c>
      <c r="D98" s="150" t="s">
        <v>24</v>
      </c>
      <c r="E98" s="287">
        <f>'B3 - MEMORIA'!$F$101</f>
        <v>51.43</v>
      </c>
      <c r="F98" s="287"/>
      <c r="G98" s="287"/>
    </row>
    <row r="99" spans="1:7" ht="22.5" x14ac:dyDescent="0.2">
      <c r="A99" s="155">
        <v>91834</v>
      </c>
      <c r="B99" s="150" t="s">
        <v>328</v>
      </c>
      <c r="C99" s="311" t="s">
        <v>401</v>
      </c>
      <c r="D99" s="150" t="s">
        <v>24</v>
      </c>
      <c r="E99" s="287">
        <f>'B3 - MEMORIA'!$F$95</f>
        <v>32.5</v>
      </c>
      <c r="F99" s="287"/>
      <c r="G99" s="287"/>
    </row>
    <row r="100" spans="1:7" ht="22.5" x14ac:dyDescent="0.2">
      <c r="A100" s="155">
        <v>91854</v>
      </c>
      <c r="B100" s="150" t="s">
        <v>330</v>
      </c>
      <c r="C100" s="311" t="s">
        <v>415</v>
      </c>
      <c r="D100" s="150" t="s">
        <v>24</v>
      </c>
      <c r="E100" s="287">
        <f>'B3 - MEMORIA'!$F$96</f>
        <v>25.5</v>
      </c>
      <c r="F100" s="287"/>
      <c r="G100" s="287"/>
    </row>
    <row r="101" spans="1:7" ht="22.5" x14ac:dyDescent="0.2">
      <c r="A101" s="155">
        <v>91926</v>
      </c>
      <c r="B101" s="150" t="s">
        <v>332</v>
      </c>
      <c r="C101" s="175" t="s">
        <v>240</v>
      </c>
      <c r="D101" s="150" t="s">
        <v>24</v>
      </c>
      <c r="E101" s="287">
        <f>'B3 - MEMORIA'!$H$102</f>
        <v>173.5</v>
      </c>
      <c r="F101" s="287"/>
      <c r="G101" s="287"/>
    </row>
    <row r="102" spans="1:7" ht="22.5" x14ac:dyDescent="0.2">
      <c r="A102" s="155">
        <v>91928</v>
      </c>
      <c r="B102" s="150" t="s">
        <v>334</v>
      </c>
      <c r="C102" s="175" t="s">
        <v>239</v>
      </c>
      <c r="D102" s="287" t="s">
        <v>24</v>
      </c>
      <c r="E102" s="287">
        <f>'B3 - MEMORIA'!$H$105</f>
        <v>17</v>
      </c>
      <c r="F102" s="287"/>
      <c r="G102" s="287"/>
    </row>
    <row r="103" spans="1:7" ht="22.5" x14ac:dyDescent="0.2">
      <c r="A103" s="155">
        <v>91932</v>
      </c>
      <c r="B103" s="150" t="s">
        <v>337</v>
      </c>
      <c r="C103" s="175" t="s">
        <v>398</v>
      </c>
      <c r="D103" s="287" t="s">
        <v>24</v>
      </c>
      <c r="E103" s="287">
        <f>'B3 - MEMORIA'!$F$101</f>
        <v>51.43</v>
      </c>
      <c r="F103" s="287"/>
      <c r="G103" s="287"/>
    </row>
    <row r="104" spans="1:7" ht="22.5" x14ac:dyDescent="0.2">
      <c r="A104" s="155" t="s">
        <v>569</v>
      </c>
      <c r="B104" s="150" t="s">
        <v>339</v>
      </c>
      <c r="C104" s="175" t="s">
        <v>402</v>
      </c>
      <c r="D104" s="287" t="s">
        <v>145</v>
      </c>
      <c r="E104" s="287">
        <v>1</v>
      </c>
      <c r="F104" s="287"/>
      <c r="G104" s="287"/>
    </row>
    <row r="105" spans="1:7" x14ac:dyDescent="0.2">
      <c r="A105" s="155" t="s">
        <v>568</v>
      </c>
      <c r="B105" s="150" t="s">
        <v>342</v>
      </c>
      <c r="C105" s="311" t="s">
        <v>403</v>
      </c>
      <c r="D105" s="287" t="s">
        <v>145</v>
      </c>
      <c r="E105" s="287">
        <v>5</v>
      </c>
      <c r="F105" s="287"/>
      <c r="G105" s="287"/>
    </row>
    <row r="106" spans="1:7" x14ac:dyDescent="0.2">
      <c r="A106" s="155">
        <v>83446</v>
      </c>
      <c r="B106" s="150" t="s">
        <v>343</v>
      </c>
      <c r="C106" s="311" t="s">
        <v>547</v>
      </c>
      <c r="D106" s="287" t="s">
        <v>145</v>
      </c>
      <c r="E106" s="287">
        <v>1</v>
      </c>
      <c r="F106" s="287"/>
      <c r="G106" s="287"/>
    </row>
    <row r="107" spans="1:7" x14ac:dyDescent="0.2">
      <c r="A107" s="159"/>
      <c r="B107" s="170" t="s">
        <v>226</v>
      </c>
      <c r="C107" s="489" t="s">
        <v>404</v>
      </c>
      <c r="D107" s="162"/>
      <c r="E107" s="162"/>
      <c r="F107" s="162"/>
      <c r="G107" s="162"/>
    </row>
    <row r="108" spans="1:7" ht="22.5" x14ac:dyDescent="0.2">
      <c r="A108" s="155">
        <v>91975</v>
      </c>
      <c r="B108" s="150" t="s">
        <v>227</v>
      </c>
      <c r="C108" s="311" t="s">
        <v>405</v>
      </c>
      <c r="D108" s="287" t="s">
        <v>145</v>
      </c>
      <c r="E108" s="287">
        <v>1</v>
      </c>
      <c r="F108" s="287"/>
      <c r="G108" s="287"/>
    </row>
    <row r="109" spans="1:7" ht="22.5" x14ac:dyDescent="0.2">
      <c r="A109" s="155">
        <v>91959</v>
      </c>
      <c r="B109" s="150" t="s">
        <v>228</v>
      </c>
      <c r="C109" s="311" t="s">
        <v>504</v>
      </c>
      <c r="D109" s="287" t="s">
        <v>145</v>
      </c>
      <c r="E109" s="287">
        <v>4</v>
      </c>
      <c r="F109" s="287"/>
      <c r="G109" s="287"/>
    </row>
    <row r="110" spans="1:7" x14ac:dyDescent="0.2">
      <c r="A110" s="155">
        <v>91994</v>
      </c>
      <c r="B110" s="150" t="s">
        <v>666</v>
      </c>
      <c r="C110" s="490" t="s">
        <v>241</v>
      </c>
      <c r="D110" s="287" t="s">
        <v>145</v>
      </c>
      <c r="E110" s="287">
        <v>15</v>
      </c>
      <c r="F110" s="287"/>
      <c r="G110" s="287"/>
    </row>
    <row r="111" spans="1:7" x14ac:dyDescent="0.2">
      <c r="A111" s="159"/>
      <c r="B111" s="170" t="s">
        <v>667</v>
      </c>
      <c r="C111" s="491" t="s">
        <v>406</v>
      </c>
      <c r="D111" s="492"/>
      <c r="E111" s="162"/>
      <c r="F111" s="162"/>
      <c r="G111" s="162"/>
    </row>
    <row r="112" spans="1:7" ht="22.5" x14ac:dyDescent="0.2">
      <c r="A112" s="155" t="s">
        <v>570</v>
      </c>
      <c r="B112" s="150" t="s">
        <v>668</v>
      </c>
      <c r="C112" s="311" t="s">
        <v>548</v>
      </c>
      <c r="D112" s="287" t="s">
        <v>145</v>
      </c>
      <c r="E112" s="287">
        <v>6</v>
      </c>
      <c r="F112" s="287"/>
      <c r="G112" s="287"/>
    </row>
    <row r="113" spans="1:7" ht="22.5" x14ac:dyDescent="0.2">
      <c r="A113" s="155">
        <v>97590</v>
      </c>
      <c r="B113" s="150" t="s">
        <v>670</v>
      </c>
      <c r="C113" s="311" t="s">
        <v>549</v>
      </c>
      <c r="D113" s="287" t="s">
        <v>145</v>
      </c>
      <c r="E113" s="287">
        <v>4</v>
      </c>
      <c r="F113" s="287"/>
      <c r="G113" s="287"/>
    </row>
    <row r="114" spans="1:7" ht="22.5" x14ac:dyDescent="0.2">
      <c r="A114" s="155" t="s">
        <v>571</v>
      </c>
      <c r="B114" s="150" t="s">
        <v>671</v>
      </c>
      <c r="C114" s="311" t="s">
        <v>407</v>
      </c>
      <c r="D114" s="287" t="s">
        <v>145</v>
      </c>
      <c r="E114" s="287">
        <v>1</v>
      </c>
      <c r="F114" s="287"/>
      <c r="G114" s="287"/>
    </row>
    <row r="115" spans="1:7" ht="22.5" x14ac:dyDescent="0.2">
      <c r="A115" s="155">
        <v>83475</v>
      </c>
      <c r="B115" s="150" t="s">
        <v>672</v>
      </c>
      <c r="C115" s="311" t="s">
        <v>242</v>
      </c>
      <c r="D115" s="287" t="s">
        <v>145</v>
      </c>
      <c r="E115" s="287">
        <v>2</v>
      </c>
      <c r="F115" s="287"/>
      <c r="G115" s="287"/>
    </row>
    <row r="116" spans="1:7" x14ac:dyDescent="0.2">
      <c r="A116" s="155">
        <v>97601</v>
      </c>
      <c r="B116" s="150" t="s">
        <v>673</v>
      </c>
      <c r="C116" s="311" t="s">
        <v>550</v>
      </c>
      <c r="D116" s="287" t="s">
        <v>145</v>
      </c>
      <c r="E116" s="287">
        <v>3</v>
      </c>
      <c r="F116" s="287"/>
      <c r="G116" s="287"/>
    </row>
    <row r="117" spans="1:7" x14ac:dyDescent="0.2">
      <c r="A117" s="159"/>
      <c r="B117" s="170" t="s">
        <v>669</v>
      </c>
      <c r="C117" s="489" t="s">
        <v>408</v>
      </c>
      <c r="D117" s="160"/>
      <c r="E117" s="162"/>
      <c r="F117" s="162"/>
      <c r="G117" s="162"/>
    </row>
    <row r="118" spans="1:7" ht="22.5" x14ac:dyDescent="0.2">
      <c r="A118" s="155">
        <v>91856</v>
      </c>
      <c r="B118" s="150" t="s">
        <v>678</v>
      </c>
      <c r="C118" s="311" t="s">
        <v>409</v>
      </c>
      <c r="D118" s="150" t="s">
        <v>24</v>
      </c>
      <c r="E118" s="287">
        <v>6</v>
      </c>
      <c r="F118" s="287"/>
      <c r="G118" s="287"/>
    </row>
    <row r="119" spans="1:7" ht="22.5" x14ac:dyDescent="0.2">
      <c r="A119" s="155" t="s">
        <v>567</v>
      </c>
      <c r="B119" s="150" t="s">
        <v>679</v>
      </c>
      <c r="C119" s="311" t="s">
        <v>410</v>
      </c>
      <c r="D119" s="150" t="s">
        <v>24</v>
      </c>
      <c r="E119" s="287">
        <v>6</v>
      </c>
      <c r="F119" s="287"/>
      <c r="G119" s="287"/>
    </row>
    <row r="120" spans="1:7" x14ac:dyDescent="0.2">
      <c r="A120" s="155">
        <v>83366</v>
      </c>
      <c r="B120" s="150" t="s">
        <v>680</v>
      </c>
      <c r="C120" s="311" t="s">
        <v>411</v>
      </c>
      <c r="D120" s="287" t="s">
        <v>145</v>
      </c>
      <c r="E120" s="287">
        <v>1</v>
      </c>
      <c r="F120" s="287"/>
      <c r="G120" s="287"/>
    </row>
    <row r="121" spans="1:7" x14ac:dyDescent="0.2">
      <c r="A121" s="155">
        <v>72337</v>
      </c>
      <c r="B121" s="150" t="s">
        <v>681</v>
      </c>
      <c r="C121" s="311" t="s">
        <v>172</v>
      </c>
      <c r="D121" s="287" t="s">
        <v>145</v>
      </c>
      <c r="E121" s="287">
        <v>2</v>
      </c>
      <c r="F121" s="287"/>
      <c r="G121" s="287"/>
    </row>
    <row r="122" spans="1:7" ht="22.5" x14ac:dyDescent="0.2">
      <c r="A122" s="155">
        <v>98400</v>
      </c>
      <c r="B122" s="150" t="s">
        <v>682</v>
      </c>
      <c r="C122" s="311" t="s">
        <v>573</v>
      </c>
      <c r="D122" s="287" t="s">
        <v>24</v>
      </c>
      <c r="E122" s="287">
        <v>24.44</v>
      </c>
      <c r="F122" s="287"/>
      <c r="G122" s="287"/>
    </row>
    <row r="123" spans="1:7" x14ac:dyDescent="0.2">
      <c r="A123" s="482"/>
      <c r="B123" s="184" t="s">
        <v>674</v>
      </c>
      <c r="C123" s="493" t="s">
        <v>505</v>
      </c>
      <c r="D123" s="162"/>
      <c r="E123" s="162"/>
      <c r="F123" s="162"/>
      <c r="G123" s="162"/>
    </row>
    <row r="124" spans="1:7" ht="36" customHeight="1" x14ac:dyDescent="0.2">
      <c r="A124" s="155">
        <v>90105</v>
      </c>
      <c r="B124" s="150" t="s">
        <v>683</v>
      </c>
      <c r="C124" s="311" t="s">
        <v>325</v>
      </c>
      <c r="D124" s="150" t="s">
        <v>25</v>
      </c>
      <c r="E124" s="287">
        <f>'B3 - MEMORIA'!$F$109</f>
        <v>20</v>
      </c>
      <c r="F124" s="287"/>
      <c r="G124" s="287"/>
    </row>
    <row r="125" spans="1:7" ht="35.25" customHeight="1" x14ac:dyDescent="0.2">
      <c r="A125" s="155">
        <v>93369</v>
      </c>
      <c r="B125" s="150" t="s">
        <v>684</v>
      </c>
      <c r="C125" s="311" t="s">
        <v>327</v>
      </c>
      <c r="D125" s="150" t="s">
        <v>25</v>
      </c>
      <c r="E125" s="287">
        <f>E124</f>
        <v>20</v>
      </c>
      <c r="F125" s="287"/>
      <c r="G125" s="287"/>
    </row>
    <row r="126" spans="1:7" x14ac:dyDescent="0.2">
      <c r="A126" s="146">
        <v>95676</v>
      </c>
      <c r="B126" s="150" t="s">
        <v>685</v>
      </c>
      <c r="C126" s="311" t="s">
        <v>329</v>
      </c>
      <c r="D126" s="287" t="s">
        <v>145</v>
      </c>
      <c r="E126" s="287">
        <v>1</v>
      </c>
      <c r="F126" s="287"/>
      <c r="G126" s="287"/>
    </row>
    <row r="127" spans="1:7" ht="13.5" customHeight="1" x14ac:dyDescent="0.2">
      <c r="A127" s="155">
        <v>95675</v>
      </c>
      <c r="B127" s="150" t="s">
        <v>686</v>
      </c>
      <c r="C127" s="494" t="s">
        <v>331</v>
      </c>
      <c r="D127" s="287" t="s">
        <v>145</v>
      </c>
      <c r="E127" s="287">
        <v>1</v>
      </c>
      <c r="F127" s="287"/>
      <c r="G127" s="287"/>
    </row>
    <row r="128" spans="1:7" ht="25.5" customHeight="1" x14ac:dyDescent="0.2">
      <c r="A128" s="155">
        <v>89356</v>
      </c>
      <c r="B128" s="150" t="s">
        <v>687</v>
      </c>
      <c r="C128" s="311" t="s">
        <v>333</v>
      </c>
      <c r="D128" s="287" t="s">
        <v>24</v>
      </c>
      <c r="E128" s="287">
        <v>20</v>
      </c>
      <c r="F128" s="287"/>
      <c r="G128" s="287"/>
    </row>
    <row r="129" spans="1:7" ht="22.5" x14ac:dyDescent="0.2">
      <c r="A129" s="155">
        <v>89362</v>
      </c>
      <c r="B129" s="150" t="s">
        <v>688</v>
      </c>
      <c r="C129" s="311" t="s">
        <v>412</v>
      </c>
      <c r="D129" s="287" t="s">
        <v>145</v>
      </c>
      <c r="E129" s="287">
        <v>4</v>
      </c>
      <c r="F129" s="287"/>
      <c r="G129" s="287"/>
    </row>
    <row r="130" spans="1:7" x14ac:dyDescent="0.2">
      <c r="A130" s="155" t="s">
        <v>575</v>
      </c>
      <c r="B130" s="150" t="s">
        <v>689</v>
      </c>
      <c r="C130" s="311" t="s">
        <v>335</v>
      </c>
      <c r="D130" s="287" t="s">
        <v>145</v>
      </c>
      <c r="E130" s="287">
        <v>1</v>
      </c>
      <c r="F130" s="287"/>
      <c r="G130" s="287"/>
    </row>
    <row r="131" spans="1:7" x14ac:dyDescent="0.2">
      <c r="A131" s="483"/>
      <c r="B131" s="184" t="s">
        <v>675</v>
      </c>
      <c r="C131" s="493" t="s">
        <v>336</v>
      </c>
      <c r="D131" s="181"/>
      <c r="E131" s="181"/>
      <c r="F131" s="181"/>
      <c r="G131" s="181"/>
    </row>
    <row r="132" spans="1:7" ht="22.5" x14ac:dyDescent="0.2">
      <c r="A132" s="155">
        <v>89356</v>
      </c>
      <c r="B132" s="287" t="s">
        <v>690</v>
      </c>
      <c r="C132" s="311" t="s">
        <v>333</v>
      </c>
      <c r="D132" s="287" t="s">
        <v>24</v>
      </c>
      <c r="E132" s="287">
        <v>23.44</v>
      </c>
      <c r="F132" s="287"/>
      <c r="G132" s="287"/>
    </row>
    <row r="133" spans="1:7" ht="22.5" x14ac:dyDescent="0.2">
      <c r="A133" s="155">
        <v>89362</v>
      </c>
      <c r="B133" s="287" t="s">
        <v>691</v>
      </c>
      <c r="C133" s="311" t="s">
        <v>412</v>
      </c>
      <c r="D133" s="287" t="s">
        <v>24</v>
      </c>
      <c r="E133" s="287">
        <v>3</v>
      </c>
      <c r="F133" s="287"/>
      <c r="G133" s="287"/>
    </row>
    <row r="134" spans="1:7" x14ac:dyDescent="0.2">
      <c r="A134" s="155">
        <v>88504</v>
      </c>
      <c r="B134" s="287" t="s">
        <v>692</v>
      </c>
      <c r="C134" s="311" t="s">
        <v>338</v>
      </c>
      <c r="D134" s="287" t="s">
        <v>145</v>
      </c>
      <c r="E134" s="287">
        <v>1</v>
      </c>
      <c r="F134" s="287"/>
      <c r="G134" s="287"/>
    </row>
    <row r="135" spans="1:7" x14ac:dyDescent="0.2">
      <c r="A135" s="155">
        <v>94796</v>
      </c>
      <c r="B135" s="287" t="s">
        <v>693</v>
      </c>
      <c r="C135" s="311" t="s">
        <v>340</v>
      </c>
      <c r="D135" s="287" t="s">
        <v>145</v>
      </c>
      <c r="E135" s="287">
        <v>1</v>
      </c>
      <c r="F135" s="287"/>
      <c r="G135" s="287"/>
    </row>
    <row r="136" spans="1:7" x14ac:dyDescent="0.2">
      <c r="A136" s="159"/>
      <c r="B136" s="184" t="s">
        <v>676</v>
      </c>
      <c r="C136" s="489" t="s">
        <v>341</v>
      </c>
      <c r="D136" s="162"/>
      <c r="E136" s="162"/>
      <c r="F136" s="162"/>
      <c r="G136" s="162"/>
    </row>
    <row r="137" spans="1:7" ht="22.5" x14ac:dyDescent="0.2">
      <c r="A137" s="155">
        <v>89367</v>
      </c>
      <c r="B137" s="287" t="s">
        <v>694</v>
      </c>
      <c r="C137" s="311" t="s">
        <v>413</v>
      </c>
      <c r="D137" s="287" t="s">
        <v>145</v>
      </c>
      <c r="E137" s="287">
        <v>8</v>
      </c>
      <c r="F137" s="287"/>
      <c r="G137" s="287"/>
    </row>
    <row r="138" spans="1:7" ht="22.5" x14ac:dyDescent="0.2">
      <c r="A138" s="155">
        <v>89357</v>
      </c>
      <c r="B138" s="287" t="s">
        <v>695</v>
      </c>
      <c r="C138" s="311" t="s">
        <v>414</v>
      </c>
      <c r="D138" s="287" t="s">
        <v>24</v>
      </c>
      <c r="E138" s="287">
        <v>42</v>
      </c>
      <c r="F138" s="287"/>
      <c r="G138" s="287"/>
    </row>
    <row r="139" spans="1:7" ht="13.5" customHeight="1" x14ac:dyDescent="0.2">
      <c r="A139" s="155">
        <v>89353</v>
      </c>
      <c r="B139" s="287" t="s">
        <v>696</v>
      </c>
      <c r="C139" s="311" t="s">
        <v>345</v>
      </c>
      <c r="D139" s="287" t="s">
        <v>145</v>
      </c>
      <c r="E139" s="287">
        <v>6</v>
      </c>
      <c r="F139" s="287"/>
      <c r="G139" s="287"/>
    </row>
    <row r="140" spans="1:7" x14ac:dyDescent="0.2">
      <c r="A140" s="155">
        <v>89351</v>
      </c>
      <c r="B140" s="287" t="s">
        <v>697</v>
      </c>
      <c r="C140" s="311" t="s">
        <v>346</v>
      </c>
      <c r="D140" s="287" t="s">
        <v>145</v>
      </c>
      <c r="E140" s="287">
        <v>4</v>
      </c>
      <c r="F140" s="287"/>
      <c r="G140" s="287"/>
    </row>
    <row r="141" spans="1:7" ht="22.5" x14ac:dyDescent="0.2">
      <c r="A141" s="155">
        <v>95470</v>
      </c>
      <c r="B141" s="287" t="s">
        <v>698</v>
      </c>
      <c r="C141" s="311" t="s">
        <v>347</v>
      </c>
      <c r="D141" s="287" t="s">
        <v>145</v>
      </c>
      <c r="E141" s="287">
        <v>2</v>
      </c>
      <c r="F141" s="287"/>
      <c r="G141" s="287"/>
    </row>
    <row r="142" spans="1:7" x14ac:dyDescent="0.2">
      <c r="A142" s="155" t="str">
        <f>'B5 - COMPOSIÇÃO'!B84</f>
        <v>CPU 10/SLU/DF</v>
      </c>
      <c r="B142" s="287" t="s">
        <v>699</v>
      </c>
      <c r="C142" s="311" t="s">
        <v>348</v>
      </c>
      <c r="D142" s="287" t="s">
        <v>145</v>
      </c>
      <c r="E142" s="287">
        <v>2</v>
      </c>
      <c r="F142" s="287"/>
      <c r="G142" s="287"/>
    </row>
    <row r="143" spans="1:7" ht="22.5" x14ac:dyDescent="0.2">
      <c r="A143" s="155">
        <v>86902</v>
      </c>
      <c r="B143" s="287" t="s">
        <v>700</v>
      </c>
      <c r="C143" s="311" t="s">
        <v>349</v>
      </c>
      <c r="D143" s="287" t="s">
        <v>145</v>
      </c>
      <c r="E143" s="287">
        <v>2</v>
      </c>
      <c r="F143" s="287"/>
      <c r="G143" s="287"/>
    </row>
    <row r="144" spans="1:7" ht="33.75" x14ac:dyDescent="0.2">
      <c r="A144" s="155">
        <v>86872</v>
      </c>
      <c r="B144" s="287" t="s">
        <v>701</v>
      </c>
      <c r="C144" s="311" t="s">
        <v>350</v>
      </c>
      <c r="D144" s="287" t="s">
        <v>145</v>
      </c>
      <c r="E144" s="287">
        <v>1</v>
      </c>
      <c r="F144" s="287"/>
      <c r="G144" s="287"/>
    </row>
    <row r="145" spans="1:7" ht="14.25" customHeight="1" x14ac:dyDescent="0.2">
      <c r="A145" s="155">
        <v>86914</v>
      </c>
      <c r="B145" s="287" t="s">
        <v>702</v>
      </c>
      <c r="C145" s="311" t="s">
        <v>351</v>
      </c>
      <c r="D145" s="287" t="s">
        <v>145</v>
      </c>
      <c r="E145" s="287">
        <v>4</v>
      </c>
      <c r="F145" s="287"/>
      <c r="G145" s="287"/>
    </row>
    <row r="146" spans="1:7" ht="14.25" customHeight="1" x14ac:dyDescent="0.2">
      <c r="A146" s="146">
        <v>9535</v>
      </c>
      <c r="B146" s="287" t="s">
        <v>703</v>
      </c>
      <c r="C146" s="311" t="s">
        <v>352</v>
      </c>
      <c r="D146" s="287" t="s">
        <v>145</v>
      </c>
      <c r="E146" s="287">
        <v>2</v>
      </c>
      <c r="F146" s="287"/>
      <c r="G146" s="287"/>
    </row>
    <row r="147" spans="1:7" ht="14.25" customHeight="1" x14ac:dyDescent="0.2">
      <c r="A147" s="146">
        <v>95543</v>
      </c>
      <c r="B147" s="287" t="s">
        <v>704</v>
      </c>
      <c r="C147" s="311" t="s">
        <v>353</v>
      </c>
      <c r="D147" s="287" t="s">
        <v>145</v>
      </c>
      <c r="E147" s="287">
        <v>2</v>
      </c>
      <c r="F147" s="287"/>
      <c r="G147" s="287"/>
    </row>
    <row r="148" spans="1:7" ht="14.25" customHeight="1" x14ac:dyDescent="0.2">
      <c r="A148" s="155">
        <v>95542</v>
      </c>
      <c r="B148" s="287" t="s">
        <v>705</v>
      </c>
      <c r="C148" s="311" t="s">
        <v>354</v>
      </c>
      <c r="D148" s="287" t="s">
        <v>145</v>
      </c>
      <c r="E148" s="287">
        <v>2</v>
      </c>
      <c r="F148" s="287"/>
      <c r="G148" s="287"/>
    </row>
    <row r="149" spans="1:7" ht="14.25" customHeight="1" x14ac:dyDescent="0.2">
      <c r="A149" s="155">
        <v>95545</v>
      </c>
      <c r="B149" s="287" t="s">
        <v>706</v>
      </c>
      <c r="C149" s="311" t="s">
        <v>355</v>
      </c>
      <c r="D149" s="287" t="s">
        <v>145</v>
      </c>
      <c r="E149" s="287">
        <v>2</v>
      </c>
      <c r="F149" s="287"/>
      <c r="G149" s="287"/>
    </row>
    <row r="150" spans="1:7" ht="14.25" customHeight="1" x14ac:dyDescent="0.2">
      <c r="A150" s="155">
        <v>95544</v>
      </c>
      <c r="B150" s="287" t="s">
        <v>707</v>
      </c>
      <c r="C150" s="311" t="s">
        <v>356</v>
      </c>
      <c r="D150" s="287" t="s">
        <v>145</v>
      </c>
      <c r="E150" s="287">
        <v>2</v>
      </c>
      <c r="F150" s="287"/>
      <c r="G150" s="287"/>
    </row>
    <row r="151" spans="1:7" ht="14.25" customHeight="1" x14ac:dyDescent="0.2">
      <c r="A151" s="155" t="s">
        <v>559</v>
      </c>
      <c r="B151" s="287" t="s">
        <v>708</v>
      </c>
      <c r="C151" s="311" t="s">
        <v>357</v>
      </c>
      <c r="D151" s="287" t="s">
        <v>23</v>
      </c>
      <c r="E151" s="287">
        <f>(0.5*0.45)*2</f>
        <v>0.45</v>
      </c>
      <c r="F151" s="287"/>
      <c r="G151" s="287"/>
    </row>
    <row r="152" spans="1:7" x14ac:dyDescent="0.2">
      <c r="A152" s="159"/>
      <c r="B152" s="184" t="s">
        <v>677</v>
      </c>
      <c r="C152" s="489" t="s">
        <v>508</v>
      </c>
      <c r="D152" s="162"/>
      <c r="E152" s="162"/>
      <c r="F152" s="162"/>
      <c r="G152" s="162"/>
    </row>
    <row r="153" spans="1:7" ht="33.75" x14ac:dyDescent="0.2">
      <c r="A153" s="155">
        <v>90105</v>
      </c>
      <c r="B153" s="287" t="s">
        <v>709</v>
      </c>
      <c r="C153" s="311" t="s">
        <v>325</v>
      </c>
      <c r="D153" s="150" t="s">
        <v>25</v>
      </c>
      <c r="E153" s="287">
        <f>'B3 - MEMORIA'!$F$109</f>
        <v>20</v>
      </c>
      <c r="F153" s="287"/>
      <c r="G153" s="287"/>
    </row>
    <row r="154" spans="1:7" ht="33.75" x14ac:dyDescent="0.2">
      <c r="A154" s="155">
        <v>93369</v>
      </c>
      <c r="B154" s="287" t="s">
        <v>710</v>
      </c>
      <c r="C154" s="311" t="s">
        <v>327</v>
      </c>
      <c r="D154" s="150" t="s">
        <v>25</v>
      </c>
      <c r="E154" s="287">
        <f>E153</f>
        <v>20</v>
      </c>
      <c r="F154" s="287"/>
      <c r="G154" s="287"/>
    </row>
    <row r="155" spans="1:7" ht="33.75" x14ac:dyDescent="0.2">
      <c r="A155" s="155">
        <v>90093</v>
      </c>
      <c r="B155" s="287" t="s">
        <v>711</v>
      </c>
      <c r="C155" s="311" t="s">
        <v>507</v>
      </c>
      <c r="D155" s="150" t="s">
        <v>25</v>
      </c>
      <c r="E155" s="287">
        <f>1.9*1.1*1.4</f>
        <v>2.9259999999999997</v>
      </c>
      <c r="F155" s="287"/>
      <c r="G155" s="287"/>
    </row>
    <row r="156" spans="1:7" ht="22.5" x14ac:dyDescent="0.2">
      <c r="A156" s="155">
        <v>98052</v>
      </c>
      <c r="B156" s="287" t="s">
        <v>712</v>
      </c>
      <c r="C156" s="311" t="s">
        <v>551</v>
      </c>
      <c r="D156" s="150" t="s">
        <v>145</v>
      </c>
      <c r="E156" s="287">
        <v>1</v>
      </c>
      <c r="F156" s="287"/>
      <c r="G156" s="287"/>
    </row>
    <row r="157" spans="1:7" ht="33.75" x14ac:dyDescent="0.2">
      <c r="A157" s="155">
        <v>90088</v>
      </c>
      <c r="B157" s="287" t="s">
        <v>713</v>
      </c>
      <c r="C157" s="311" t="s">
        <v>506</v>
      </c>
      <c r="D157" s="150" t="s">
        <v>25</v>
      </c>
      <c r="E157" s="287">
        <f>1.2*5*1.4</f>
        <v>8.3999999999999986</v>
      </c>
      <c r="F157" s="287"/>
      <c r="G157" s="287"/>
    </row>
    <row r="158" spans="1:7" ht="22.5" x14ac:dyDescent="0.2">
      <c r="A158" s="155">
        <v>98094</v>
      </c>
      <c r="B158" s="287" t="s">
        <v>714</v>
      </c>
      <c r="C158" s="311" t="s">
        <v>552</v>
      </c>
      <c r="D158" s="150" t="s">
        <v>145</v>
      </c>
      <c r="E158" s="287">
        <v>1</v>
      </c>
      <c r="F158" s="287"/>
      <c r="G158" s="287"/>
    </row>
    <row r="159" spans="1:7" x14ac:dyDescent="0.2">
      <c r="A159" s="146" t="s">
        <v>574</v>
      </c>
      <c r="B159" s="287" t="s">
        <v>715</v>
      </c>
      <c r="C159" s="311" t="s">
        <v>553</v>
      </c>
      <c r="D159" s="287" t="s">
        <v>145</v>
      </c>
      <c r="E159" s="287">
        <v>1</v>
      </c>
      <c r="F159" s="287"/>
      <c r="G159" s="287"/>
    </row>
    <row r="160" spans="1:7" x14ac:dyDescent="0.2">
      <c r="A160" s="146">
        <v>89714</v>
      </c>
      <c r="B160" s="287" t="s">
        <v>716</v>
      </c>
      <c r="C160" s="311" t="s">
        <v>358</v>
      </c>
      <c r="D160" s="150" t="s">
        <v>24</v>
      </c>
      <c r="E160" s="287">
        <v>30</v>
      </c>
      <c r="F160" s="287"/>
      <c r="G160" s="287"/>
    </row>
    <row r="161" spans="1:18" ht="22.5" x14ac:dyDescent="0.2">
      <c r="A161" s="146">
        <v>89851</v>
      </c>
      <c r="B161" s="287" t="s">
        <v>717</v>
      </c>
      <c r="C161" s="311" t="s">
        <v>359</v>
      </c>
      <c r="D161" s="287" t="s">
        <v>145</v>
      </c>
      <c r="E161" s="287">
        <v>2</v>
      </c>
      <c r="F161" s="287"/>
      <c r="G161" s="287"/>
    </row>
    <row r="162" spans="1:18" ht="22.5" x14ac:dyDescent="0.2">
      <c r="A162" s="155">
        <v>89852</v>
      </c>
      <c r="B162" s="287" t="s">
        <v>718</v>
      </c>
      <c r="C162" s="311" t="s">
        <v>429</v>
      </c>
      <c r="D162" s="150" t="s">
        <v>145</v>
      </c>
      <c r="E162" s="287">
        <v>4</v>
      </c>
      <c r="F162" s="287"/>
      <c r="G162" s="287"/>
    </row>
    <row r="163" spans="1:18" x14ac:dyDescent="0.2">
      <c r="A163" s="155">
        <v>89711</v>
      </c>
      <c r="B163" s="287" t="s">
        <v>719</v>
      </c>
      <c r="C163" s="311" t="s">
        <v>360</v>
      </c>
      <c r="D163" s="287" t="s">
        <v>24</v>
      </c>
      <c r="E163" s="287">
        <f>(0.97+3.27+1.04+1)*2</f>
        <v>12.56</v>
      </c>
      <c r="F163" s="287"/>
      <c r="G163" s="287"/>
    </row>
    <row r="164" spans="1:18" ht="22.5" x14ac:dyDescent="0.2">
      <c r="A164" s="155">
        <v>89726</v>
      </c>
      <c r="B164" s="287" t="s">
        <v>720</v>
      </c>
      <c r="C164" s="311" t="s">
        <v>361</v>
      </c>
      <c r="D164" s="287" t="s">
        <v>145</v>
      </c>
      <c r="E164" s="287">
        <v>4</v>
      </c>
      <c r="F164" s="287"/>
      <c r="G164" s="287"/>
    </row>
    <row r="165" spans="1:18" x14ac:dyDescent="0.2">
      <c r="A165" s="146">
        <v>89712</v>
      </c>
      <c r="B165" s="287" t="s">
        <v>721</v>
      </c>
      <c r="C165" s="311" t="s">
        <v>362</v>
      </c>
      <c r="D165" s="287" t="s">
        <v>24</v>
      </c>
      <c r="E165" s="287">
        <v>2</v>
      </c>
      <c r="F165" s="287"/>
      <c r="G165" s="287"/>
    </row>
    <row r="166" spans="1:18" ht="22.5" x14ac:dyDescent="0.2">
      <c r="A166" s="146">
        <v>89732</v>
      </c>
      <c r="B166" s="287" t="s">
        <v>722</v>
      </c>
      <c r="C166" s="311" t="s">
        <v>363</v>
      </c>
      <c r="D166" s="287" t="s">
        <v>145</v>
      </c>
      <c r="E166" s="287">
        <f>1.18+1.53+1</f>
        <v>3.71</v>
      </c>
      <c r="F166" s="287"/>
      <c r="G166" s="287"/>
    </row>
    <row r="167" spans="1:18" ht="22.5" x14ac:dyDescent="0.2">
      <c r="A167" s="155">
        <v>89783</v>
      </c>
      <c r="B167" s="287" t="s">
        <v>723</v>
      </c>
      <c r="C167" s="311" t="s">
        <v>496</v>
      </c>
      <c r="D167" s="150" t="s">
        <v>145</v>
      </c>
      <c r="E167" s="287">
        <v>2</v>
      </c>
      <c r="F167" s="287"/>
      <c r="G167" s="287"/>
    </row>
    <row r="168" spans="1:18" x14ac:dyDescent="0.2">
      <c r="A168" s="159"/>
      <c r="B168" s="184" t="s">
        <v>724</v>
      </c>
      <c r="C168" s="489" t="s">
        <v>15</v>
      </c>
      <c r="D168" s="162"/>
      <c r="E168" s="162"/>
      <c r="F168" s="162"/>
      <c r="G168" s="162"/>
    </row>
    <row r="169" spans="1:18" ht="22.5" x14ac:dyDescent="0.2">
      <c r="A169" s="146" t="s">
        <v>572</v>
      </c>
      <c r="B169" s="150" t="s">
        <v>725</v>
      </c>
      <c r="C169" s="165" t="s">
        <v>19</v>
      </c>
      <c r="D169" s="150" t="s">
        <v>145</v>
      </c>
      <c r="E169" s="287">
        <v>3</v>
      </c>
      <c r="F169" s="150"/>
      <c r="G169" s="287"/>
    </row>
    <row r="170" spans="1:18" x14ac:dyDescent="0.2">
      <c r="A170" s="155" t="str">
        <f>'B5 - COMPOSIÇÃO'!B89</f>
        <v>CPU 11/SLU/DF</v>
      </c>
      <c r="B170" s="150" t="s">
        <v>726</v>
      </c>
      <c r="C170" s="185" t="s">
        <v>114</v>
      </c>
      <c r="D170" s="150" t="s">
        <v>145</v>
      </c>
      <c r="E170" s="287">
        <v>3</v>
      </c>
      <c r="F170" s="287"/>
      <c r="G170" s="287"/>
    </row>
    <row r="171" spans="1:18" x14ac:dyDescent="0.2">
      <c r="A171" s="534" t="s">
        <v>787</v>
      </c>
      <c r="B171" s="534"/>
      <c r="C171" s="534"/>
      <c r="D171" s="534"/>
      <c r="E171" s="534"/>
      <c r="F171" s="535"/>
      <c r="G171" s="535"/>
    </row>
    <row r="172" spans="1:18" s="75" customFormat="1" x14ac:dyDescent="0.2">
      <c r="A172" s="484"/>
      <c r="B172" s="141">
        <v>8</v>
      </c>
      <c r="C172" s="186" t="s">
        <v>322</v>
      </c>
      <c r="D172" s="187"/>
      <c r="E172" s="188"/>
      <c r="F172" s="188"/>
      <c r="G172" s="188"/>
      <c r="H172"/>
      <c r="I172"/>
      <c r="J172"/>
      <c r="K172"/>
      <c r="L172"/>
      <c r="M172"/>
      <c r="N172"/>
      <c r="O172"/>
      <c r="P172"/>
      <c r="Q172"/>
      <c r="R172"/>
    </row>
    <row r="173" spans="1:18" x14ac:dyDescent="0.2">
      <c r="A173" s="482"/>
      <c r="B173" s="160" t="s">
        <v>30</v>
      </c>
      <c r="C173" s="161" t="s">
        <v>366</v>
      </c>
      <c r="D173" s="160"/>
      <c r="E173" s="160"/>
      <c r="F173" s="160"/>
      <c r="G173" s="160"/>
    </row>
    <row r="174" spans="1:18" x14ac:dyDescent="0.2">
      <c r="A174" s="155">
        <v>10848</v>
      </c>
      <c r="B174" s="150" t="s">
        <v>367</v>
      </c>
      <c r="C174" s="165" t="s">
        <v>368</v>
      </c>
      <c r="D174" s="189" t="s">
        <v>145</v>
      </c>
      <c r="E174" s="287">
        <v>1</v>
      </c>
      <c r="F174" s="287"/>
      <c r="G174" s="287"/>
    </row>
    <row r="175" spans="1:18" ht="23.25" customHeight="1" x14ac:dyDescent="0.2">
      <c r="A175" s="155">
        <v>4813</v>
      </c>
      <c r="B175" s="150" t="s">
        <v>369</v>
      </c>
      <c r="C175" s="165" t="s">
        <v>648</v>
      </c>
      <c r="D175" s="189" t="s">
        <v>23</v>
      </c>
      <c r="E175" s="287">
        <f>6*1.3</f>
        <v>7.8000000000000007</v>
      </c>
      <c r="F175" s="287"/>
      <c r="G175" s="287"/>
    </row>
    <row r="176" spans="1:18" ht="22.5" x14ac:dyDescent="0.2">
      <c r="A176" s="155">
        <v>4813</v>
      </c>
      <c r="B176" s="150" t="s">
        <v>370</v>
      </c>
      <c r="C176" s="165" t="s">
        <v>792</v>
      </c>
      <c r="D176" s="189" t="s">
        <v>23</v>
      </c>
      <c r="E176" s="287">
        <f>2*1.5</f>
        <v>3</v>
      </c>
      <c r="F176" s="287"/>
      <c r="G176" s="287"/>
    </row>
    <row r="177" spans="1:18" s="34" customFormat="1" x14ac:dyDescent="0.2">
      <c r="A177" s="534" t="s">
        <v>788</v>
      </c>
      <c r="B177" s="534"/>
      <c r="C177" s="534"/>
      <c r="D177" s="534"/>
      <c r="E177" s="534"/>
      <c r="F177" s="535"/>
      <c r="G177" s="535"/>
      <c r="H177"/>
      <c r="I177"/>
      <c r="J177"/>
      <c r="K177"/>
      <c r="L177"/>
      <c r="M177"/>
      <c r="N177"/>
      <c r="O177"/>
      <c r="P177"/>
      <c r="Q177"/>
      <c r="R177"/>
    </row>
    <row r="178" spans="1:18" x14ac:dyDescent="0.2">
      <c r="A178" s="484"/>
      <c r="B178" s="141">
        <v>9</v>
      </c>
      <c r="C178" s="186" t="s">
        <v>16</v>
      </c>
      <c r="D178" s="187"/>
      <c r="E178" s="188"/>
      <c r="F178" s="188"/>
      <c r="G178" s="188"/>
    </row>
    <row r="179" spans="1:18" ht="26.25" customHeight="1" x14ac:dyDescent="0.2">
      <c r="A179" s="190" t="s">
        <v>115</v>
      </c>
      <c r="B179" s="191" t="s">
        <v>518</v>
      </c>
      <c r="C179" s="192" t="s">
        <v>17</v>
      </c>
      <c r="D179" s="150" t="s">
        <v>145</v>
      </c>
      <c r="E179" s="193">
        <v>1</v>
      </c>
      <c r="F179" s="193"/>
      <c r="G179" s="193"/>
    </row>
    <row r="180" spans="1:18" x14ac:dyDescent="0.2">
      <c r="A180" s="534" t="s">
        <v>789</v>
      </c>
      <c r="B180" s="534"/>
      <c r="C180" s="534"/>
      <c r="D180" s="534"/>
      <c r="E180" s="534"/>
      <c r="F180" s="535"/>
      <c r="G180" s="535"/>
    </row>
    <row r="181" spans="1:18" x14ac:dyDescent="0.2">
      <c r="A181" s="484"/>
      <c r="B181" s="141">
        <v>10</v>
      </c>
      <c r="C181" s="166" t="s">
        <v>280</v>
      </c>
      <c r="D181" s="187"/>
      <c r="E181" s="188"/>
      <c r="F181" s="188"/>
      <c r="G181" s="188"/>
    </row>
    <row r="182" spans="1:18" x14ac:dyDescent="0.2">
      <c r="A182" s="482"/>
      <c r="B182" s="160" t="s">
        <v>229</v>
      </c>
      <c r="C182" s="495" t="s">
        <v>281</v>
      </c>
      <c r="D182" s="160"/>
      <c r="E182" s="162"/>
      <c r="F182" s="162"/>
      <c r="G182" s="162"/>
    </row>
    <row r="183" spans="1:18" x14ac:dyDescent="0.2">
      <c r="A183" s="155">
        <v>72961</v>
      </c>
      <c r="B183" s="287" t="s">
        <v>282</v>
      </c>
      <c r="C183" s="165" t="s">
        <v>283</v>
      </c>
      <c r="D183" s="287" t="s">
        <v>23</v>
      </c>
      <c r="E183" s="287">
        <f>'B3 - MEMORIA'!$F$147</f>
        <v>223.64000000000001</v>
      </c>
      <c r="F183" s="287"/>
      <c r="G183" s="287"/>
    </row>
    <row r="184" spans="1:18" ht="22.5" x14ac:dyDescent="0.2">
      <c r="A184" s="155">
        <v>96396</v>
      </c>
      <c r="B184" s="287" t="s">
        <v>284</v>
      </c>
      <c r="C184" s="165" t="s">
        <v>554</v>
      </c>
      <c r="D184" s="287" t="s">
        <v>25</v>
      </c>
      <c r="E184" s="287">
        <f>'B3 - MEMORIA'!F147*0.03</f>
        <v>6.7092000000000001</v>
      </c>
      <c r="F184" s="287"/>
      <c r="G184" s="287"/>
    </row>
    <row r="185" spans="1:18" x14ac:dyDescent="0.2">
      <c r="A185" s="155" t="s">
        <v>580</v>
      </c>
      <c r="B185" s="150" t="s">
        <v>285</v>
      </c>
      <c r="C185" s="165" t="s">
        <v>286</v>
      </c>
      <c r="D185" s="287" t="s">
        <v>145</v>
      </c>
      <c r="E185" s="287">
        <v>2</v>
      </c>
      <c r="F185" s="287"/>
      <c r="G185" s="287"/>
    </row>
    <row r="186" spans="1:18" x14ac:dyDescent="0.2">
      <c r="A186" s="155">
        <v>92394</v>
      </c>
      <c r="B186" s="287" t="s">
        <v>287</v>
      </c>
      <c r="C186" s="165" t="s">
        <v>288</v>
      </c>
      <c r="D186" s="287" t="s">
        <v>23</v>
      </c>
      <c r="E186" s="287">
        <f>'B3 - MEMORIA'!$F$147</f>
        <v>223.64000000000001</v>
      </c>
      <c r="F186" s="287"/>
      <c r="G186" s="287"/>
    </row>
    <row r="187" spans="1:18" x14ac:dyDescent="0.2">
      <c r="A187" s="155">
        <v>93596</v>
      </c>
      <c r="B187" s="287" t="s">
        <v>289</v>
      </c>
      <c r="C187" s="165" t="s">
        <v>273</v>
      </c>
      <c r="D187" s="150" t="s">
        <v>274</v>
      </c>
      <c r="E187" s="287">
        <f>'B3 - MEMORIA'!$H$153</f>
        <v>806.40111200000013</v>
      </c>
      <c r="F187" s="287"/>
      <c r="G187" s="287"/>
    </row>
    <row r="188" spans="1:18" x14ac:dyDescent="0.2">
      <c r="A188" s="155">
        <v>94263</v>
      </c>
      <c r="B188" s="150" t="s">
        <v>290</v>
      </c>
      <c r="C188" s="165" t="s">
        <v>276</v>
      </c>
      <c r="D188" s="287" t="s">
        <v>24</v>
      </c>
      <c r="E188" s="287">
        <f>'B3 - MEMORIA'!$G$147</f>
        <v>74.209999999999994</v>
      </c>
      <c r="F188" s="287"/>
      <c r="G188" s="287"/>
    </row>
    <row r="189" spans="1:18" x14ac:dyDescent="0.2">
      <c r="A189" s="159"/>
      <c r="B189" s="162" t="s">
        <v>230</v>
      </c>
      <c r="C189" s="161" t="s">
        <v>291</v>
      </c>
      <c r="D189" s="162"/>
      <c r="E189" s="162"/>
      <c r="F189" s="162"/>
      <c r="G189" s="162"/>
    </row>
    <row r="190" spans="1:18" ht="22.5" x14ac:dyDescent="0.2">
      <c r="A190" s="155" t="str">
        <f>'B5 - COMPOSIÇÃO'!B94</f>
        <v>CPU 12/SLU/DF</v>
      </c>
      <c r="B190" s="287" t="s">
        <v>292</v>
      </c>
      <c r="C190" s="165" t="s">
        <v>293</v>
      </c>
      <c r="D190" s="287" t="s">
        <v>25</v>
      </c>
      <c r="E190" s="287">
        <f>'B3 - MEMORIA'!$F$148*'B3 - MEMORIA'!$H$148</f>
        <v>3.3949999999999996</v>
      </c>
      <c r="F190" s="287"/>
      <c r="G190" s="288"/>
    </row>
    <row r="191" spans="1:18" x14ac:dyDescent="0.2">
      <c r="A191" s="155">
        <v>95240</v>
      </c>
      <c r="B191" s="287" t="s">
        <v>294</v>
      </c>
      <c r="C191" s="165" t="s">
        <v>295</v>
      </c>
      <c r="D191" s="287" t="s">
        <v>23</v>
      </c>
      <c r="E191" s="287">
        <f>'B3 - MEMORIA'!$F$148</f>
        <v>33.949999999999996</v>
      </c>
      <c r="F191" s="287"/>
      <c r="G191" s="288"/>
    </row>
    <row r="192" spans="1:18" x14ac:dyDescent="0.2">
      <c r="A192" s="159"/>
      <c r="B192" s="162" t="s">
        <v>231</v>
      </c>
      <c r="C192" s="161" t="s">
        <v>296</v>
      </c>
      <c r="D192" s="162"/>
      <c r="E192" s="162"/>
      <c r="F192" s="162"/>
      <c r="G192" s="162"/>
    </row>
    <row r="193" spans="1:7" ht="22.5" x14ac:dyDescent="0.2">
      <c r="A193" s="155">
        <v>98680</v>
      </c>
      <c r="B193" s="287" t="s">
        <v>297</v>
      </c>
      <c r="C193" s="311" t="s">
        <v>546</v>
      </c>
      <c r="D193" s="150" t="s">
        <v>23</v>
      </c>
      <c r="E193" s="149">
        <f>'B3 - MEMORIA'!$F$149</f>
        <v>36</v>
      </c>
      <c r="F193" s="287"/>
      <c r="G193" s="287"/>
    </row>
    <row r="194" spans="1:7" x14ac:dyDescent="0.2">
      <c r="A194" s="159"/>
      <c r="B194" s="162" t="s">
        <v>298</v>
      </c>
      <c r="C194" s="496" t="s">
        <v>299</v>
      </c>
      <c r="D194" s="160"/>
      <c r="E194" s="194"/>
      <c r="F194" s="162"/>
      <c r="G194" s="162"/>
    </row>
    <row r="195" spans="1:7" x14ac:dyDescent="0.2">
      <c r="A195" s="155">
        <v>94107</v>
      </c>
      <c r="B195" s="287" t="s">
        <v>300</v>
      </c>
      <c r="C195" s="311" t="s">
        <v>121</v>
      </c>
      <c r="D195" s="150" t="s">
        <v>55</v>
      </c>
      <c r="E195" s="149">
        <f>'B3 - MEMORIA'!$F$145*0.07</f>
        <v>14.678762000000001</v>
      </c>
      <c r="F195" s="287"/>
      <c r="G195" s="287"/>
    </row>
    <row r="196" spans="1:7" x14ac:dyDescent="0.2">
      <c r="A196" s="159"/>
      <c r="B196" s="162" t="s">
        <v>497</v>
      </c>
      <c r="C196" s="496" t="s">
        <v>498</v>
      </c>
      <c r="D196" s="160"/>
      <c r="E196" s="162"/>
      <c r="F196" s="162"/>
      <c r="G196" s="162"/>
    </row>
    <row r="197" spans="1:7" x14ac:dyDescent="0.2">
      <c r="A197" s="155">
        <v>72961</v>
      </c>
      <c r="B197" s="287" t="s">
        <v>499</v>
      </c>
      <c r="C197" s="311" t="s">
        <v>283</v>
      </c>
      <c r="D197" s="150" t="s">
        <v>23</v>
      </c>
      <c r="E197" s="149">
        <f>'B3 - MEMORIA'!$F$144</f>
        <v>62.5</v>
      </c>
      <c r="F197" s="287"/>
      <c r="G197" s="287"/>
    </row>
    <row r="198" spans="1:7" ht="22.5" x14ac:dyDescent="0.2">
      <c r="A198" s="155">
        <v>96396</v>
      </c>
      <c r="B198" s="287" t="s">
        <v>500</v>
      </c>
      <c r="C198" s="311" t="str">
        <f>C184</f>
        <v>EXECUÇÃO E COMPACTAÇÃO DE BASE E OU SUB BASE COM BRITA GRADUADA SIMPLES - EXCLUSIVE CARGA E TRANSPORTE. AF_09/2017</v>
      </c>
      <c r="D198" s="150" t="s">
        <v>25</v>
      </c>
      <c r="E198" s="149">
        <f>'B3 - MEMORIA'!$F$144*0.03</f>
        <v>1.875</v>
      </c>
      <c r="F198" s="287"/>
      <c r="G198" s="287"/>
    </row>
    <row r="199" spans="1:7" x14ac:dyDescent="0.2">
      <c r="A199" s="155">
        <v>92394</v>
      </c>
      <c r="B199" s="287" t="s">
        <v>501</v>
      </c>
      <c r="C199" s="311" t="s">
        <v>288</v>
      </c>
      <c r="D199" s="150" t="s">
        <v>23</v>
      </c>
      <c r="E199" s="149">
        <f>'B3 - MEMORIA'!$F$144</f>
        <v>62.5</v>
      </c>
      <c r="F199" s="287"/>
      <c r="G199" s="287"/>
    </row>
    <row r="200" spans="1:7" x14ac:dyDescent="0.2">
      <c r="A200" s="155">
        <v>93596</v>
      </c>
      <c r="B200" s="287" t="s">
        <v>512</v>
      </c>
      <c r="C200" s="311" t="s">
        <v>273</v>
      </c>
      <c r="D200" s="150" t="s">
        <v>274</v>
      </c>
      <c r="E200" s="149">
        <f>'B3 - MEMORIA'!$H$157</f>
        <v>225.36250000000001</v>
      </c>
      <c r="F200" s="287"/>
      <c r="G200" s="287"/>
    </row>
    <row r="201" spans="1:7" x14ac:dyDescent="0.2">
      <c r="A201" s="155">
        <v>94263</v>
      </c>
      <c r="B201" s="287" t="s">
        <v>502</v>
      </c>
      <c r="C201" s="311" t="s">
        <v>276</v>
      </c>
      <c r="D201" s="150" t="s">
        <v>24</v>
      </c>
      <c r="E201" s="149">
        <f>'B3 - MEMORIA'!$G$144</f>
        <v>55</v>
      </c>
      <c r="F201" s="287"/>
      <c r="G201" s="287"/>
    </row>
    <row r="202" spans="1:7" x14ac:dyDescent="0.2">
      <c r="A202" s="534" t="s">
        <v>790</v>
      </c>
      <c r="B202" s="534"/>
      <c r="C202" s="534"/>
      <c r="D202" s="534"/>
      <c r="E202" s="534"/>
      <c r="F202" s="535"/>
      <c r="G202" s="535"/>
    </row>
    <row r="203" spans="1:7" x14ac:dyDescent="0.2">
      <c r="A203" s="485"/>
      <c r="B203" s="195">
        <v>11</v>
      </c>
      <c r="C203" s="497" t="s">
        <v>118</v>
      </c>
      <c r="D203" s="187"/>
      <c r="E203" s="196"/>
      <c r="F203" s="188"/>
      <c r="G203" s="188"/>
    </row>
    <row r="204" spans="1:7" x14ac:dyDescent="0.2">
      <c r="A204" s="155">
        <v>2707</v>
      </c>
      <c r="B204" s="287" t="s">
        <v>727</v>
      </c>
      <c r="C204" s="311" t="s">
        <v>397</v>
      </c>
      <c r="D204" s="150" t="s">
        <v>131</v>
      </c>
      <c r="E204" s="149">
        <f>4*4*3</f>
        <v>48</v>
      </c>
      <c r="F204" s="287"/>
      <c r="G204" s="287"/>
    </row>
    <row r="205" spans="1:7" x14ac:dyDescent="0.2">
      <c r="A205" s="155">
        <v>90780</v>
      </c>
      <c r="B205" s="287" t="s">
        <v>728</v>
      </c>
      <c r="C205" s="311" t="s">
        <v>127</v>
      </c>
      <c r="D205" s="150" t="s">
        <v>117</v>
      </c>
      <c r="E205" s="149">
        <v>4</v>
      </c>
      <c r="F205" s="287"/>
      <c r="G205" s="287"/>
    </row>
    <row r="206" spans="1:7" x14ac:dyDescent="0.2">
      <c r="A206" s="155">
        <v>88326</v>
      </c>
      <c r="B206" s="287" t="s">
        <v>729</v>
      </c>
      <c r="C206" s="311" t="s">
        <v>128</v>
      </c>
      <c r="D206" s="150" t="s">
        <v>117</v>
      </c>
      <c r="E206" s="149">
        <v>4</v>
      </c>
      <c r="F206" s="287"/>
      <c r="G206" s="287"/>
    </row>
    <row r="207" spans="1:7" x14ac:dyDescent="0.2">
      <c r="A207" s="534" t="s">
        <v>791</v>
      </c>
      <c r="B207" s="534"/>
      <c r="C207" s="534"/>
      <c r="D207" s="534"/>
      <c r="E207" s="534"/>
      <c r="F207" s="535"/>
      <c r="G207" s="535"/>
    </row>
    <row r="208" spans="1:7" ht="8.25" customHeight="1" x14ac:dyDescent="0.2">
      <c r="A208" s="486"/>
    </row>
    <row r="209" spans="1:7" ht="6.75" customHeight="1" x14ac:dyDescent="0.2">
      <c r="A209" s="486"/>
    </row>
    <row r="210" spans="1:7" x14ac:dyDescent="0.2">
      <c r="A210" s="542" t="s">
        <v>32</v>
      </c>
      <c r="B210" s="542"/>
      <c r="C210" s="542"/>
      <c r="D210" s="542"/>
      <c r="E210" s="542"/>
      <c r="F210" s="538"/>
      <c r="G210" s="538"/>
    </row>
    <row r="211" spans="1:7" ht="15.75" x14ac:dyDescent="0.2">
      <c r="A211" s="536" t="s">
        <v>54</v>
      </c>
      <c r="B211" s="536"/>
      <c r="C211" s="536"/>
      <c r="D211" s="536"/>
      <c r="E211" s="536"/>
      <c r="F211" s="541"/>
      <c r="G211" s="541"/>
    </row>
    <row r="212" spans="1:7" x14ac:dyDescent="0.2">
      <c r="A212" s="498"/>
      <c r="B212" s="310"/>
      <c r="C212" s="499"/>
      <c r="D212" s="310"/>
      <c r="E212" s="310"/>
      <c r="F212" s="310"/>
      <c r="G212" s="310"/>
    </row>
    <row r="213" spans="1:7" x14ac:dyDescent="0.2">
      <c r="A213" s="500"/>
      <c r="B213" s="286"/>
      <c r="C213" s="501"/>
      <c r="D213" s="286"/>
      <c r="E213" s="286"/>
      <c r="F213" s="286"/>
      <c r="G213" s="286"/>
    </row>
    <row r="214" spans="1:7" x14ac:dyDescent="0.2">
      <c r="A214" s="500"/>
      <c r="B214" s="286"/>
      <c r="C214" s="502"/>
      <c r="D214" s="54"/>
      <c r="E214" s="54"/>
      <c r="F214" s="54"/>
      <c r="G214" s="286"/>
    </row>
    <row r="215" spans="1:7" x14ac:dyDescent="0.2">
      <c r="A215" s="540"/>
      <c r="B215" s="540"/>
      <c r="C215" s="501"/>
      <c r="D215" s="537"/>
      <c r="E215" s="537"/>
      <c r="F215" s="537"/>
      <c r="G215" s="537"/>
    </row>
    <row r="216" spans="1:7" x14ac:dyDescent="0.2">
      <c r="A216" s="508"/>
      <c r="B216" s="508"/>
      <c r="C216" s="508"/>
      <c r="D216" s="508"/>
      <c r="E216" s="508"/>
      <c r="F216" s="508"/>
      <c r="G216" s="508"/>
    </row>
    <row r="217" spans="1:7" x14ac:dyDescent="0.2">
      <c r="A217" s="508"/>
      <c r="B217" s="508"/>
      <c r="C217" s="508"/>
      <c r="D217" s="508"/>
      <c r="E217" s="508"/>
      <c r="F217" s="508"/>
      <c r="G217" s="508"/>
    </row>
    <row r="218" spans="1:7" x14ac:dyDescent="0.2">
      <c r="A218" s="508"/>
      <c r="B218" s="508"/>
      <c r="C218" s="508"/>
      <c r="D218" s="508"/>
      <c r="E218" s="508"/>
      <c r="F218" s="508"/>
      <c r="G218" s="508"/>
    </row>
    <row r="219" spans="1:7" x14ac:dyDescent="0.2">
      <c r="A219" s="539"/>
      <c r="B219" s="539"/>
      <c r="C219" s="502"/>
      <c r="D219" s="501"/>
      <c r="E219" s="501"/>
      <c r="F219" s="501"/>
      <c r="G219" s="501"/>
    </row>
    <row r="224" spans="1:7" x14ac:dyDescent="0.2">
      <c r="C224" s="504"/>
      <c r="E224" s="504"/>
      <c r="G224" s="504"/>
    </row>
    <row r="225" spans="3:7" x14ac:dyDescent="0.2">
      <c r="C225" s="504"/>
      <c r="E225" s="504"/>
      <c r="G225" s="504"/>
    </row>
    <row r="226" spans="3:7" x14ac:dyDescent="0.2">
      <c r="C226" s="504"/>
      <c r="E226" s="504"/>
      <c r="G226" s="504"/>
    </row>
    <row r="227" spans="3:7" x14ac:dyDescent="0.2">
      <c r="C227" s="504"/>
      <c r="E227" s="504"/>
      <c r="G227" s="504"/>
    </row>
    <row r="228" spans="3:7" x14ac:dyDescent="0.2">
      <c r="C228" s="504"/>
      <c r="E228" s="504"/>
      <c r="G228" s="504"/>
    </row>
    <row r="229" spans="3:7" x14ac:dyDescent="0.2">
      <c r="C229" s="504"/>
      <c r="E229" s="504"/>
      <c r="G229" s="504"/>
    </row>
    <row r="230" spans="3:7" x14ac:dyDescent="0.2">
      <c r="C230" s="504"/>
      <c r="E230" s="504"/>
      <c r="G230" s="504"/>
    </row>
  </sheetData>
  <mergeCells count="45">
    <mergeCell ref="A219:B219"/>
    <mergeCell ref="A215:B215"/>
    <mergeCell ref="A202:E202"/>
    <mergeCell ref="F211:G211"/>
    <mergeCell ref="A210:E210"/>
    <mergeCell ref="F207:G207"/>
    <mergeCell ref="F177:G177"/>
    <mergeCell ref="A171:E171"/>
    <mergeCell ref="F171:G171"/>
    <mergeCell ref="D215:G215"/>
    <mergeCell ref="F210:G210"/>
    <mergeCell ref="A177:E177"/>
    <mergeCell ref="F180:G180"/>
    <mergeCell ref="A23:E23"/>
    <mergeCell ref="A55:E55"/>
    <mergeCell ref="F202:G202"/>
    <mergeCell ref="A207:E207"/>
    <mergeCell ref="A211:E211"/>
    <mergeCell ref="F55:G55"/>
    <mergeCell ref="F51:G51"/>
    <mergeCell ref="F23:G23"/>
    <mergeCell ref="F32:G32"/>
    <mergeCell ref="A32:E32"/>
    <mergeCell ref="F37:G37"/>
    <mergeCell ref="F45:G45"/>
    <mergeCell ref="A37:E37"/>
    <mergeCell ref="A45:E45"/>
    <mergeCell ref="A51:E51"/>
    <mergeCell ref="A180:E180"/>
    <mergeCell ref="A10:G10"/>
    <mergeCell ref="A216:G216"/>
    <mergeCell ref="A217:G217"/>
    <mergeCell ref="A218:G218"/>
    <mergeCell ref="F3:G3"/>
    <mergeCell ref="F4:G4"/>
    <mergeCell ref="F5:G5"/>
    <mergeCell ref="D6:G6"/>
    <mergeCell ref="B6:C6"/>
    <mergeCell ref="B7:G7"/>
    <mergeCell ref="B8:G8"/>
    <mergeCell ref="B9:G9"/>
    <mergeCell ref="A3:A5"/>
    <mergeCell ref="B3:E3"/>
    <mergeCell ref="B4:E4"/>
    <mergeCell ref="B5:E5"/>
  </mergeCells>
  <phoneticPr fontId="6" type="noConversion"/>
  <conditionalFormatting sqref="D20 F19:G21 C19:C21">
    <cfRule type="expression" dxfId="89" priority="94" stopIfTrue="1">
      <formula>LEN($A19)=3</formula>
    </cfRule>
    <cfRule type="expression" dxfId="88" priority="95" stopIfTrue="1">
      <formula>$A19=""</formula>
    </cfRule>
  </conditionalFormatting>
  <printOptions horizontalCentered="1"/>
  <pageMargins left="0.39370078740157483" right="0.39370078740157483" top="0.39370078740157483" bottom="0.39370078740157483" header="0" footer="0"/>
  <pageSetup paperSize="8" scale="83" fitToHeight="0" orientation="portrait" r:id="rId1"/>
  <headerFooter alignWithMargins="0"/>
  <rowBreaks count="2" manualBreakCount="2">
    <brk id="88" max="6" man="1"/>
    <brk id="151" max="6" man="1"/>
  </rowBreaks>
  <ignoredErrors>
    <ignoredError sqref="E19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38"/>
  <sheetViews>
    <sheetView showGridLines="0" view="pageBreakPreview" zoomScaleNormal="100" zoomScaleSheetLayoutView="100" workbookViewId="0">
      <selection activeCell="N23" sqref="N23"/>
    </sheetView>
  </sheetViews>
  <sheetFormatPr defaultRowHeight="12.75" x14ac:dyDescent="0.2"/>
  <cols>
    <col min="1" max="1" width="5.7109375" bestFit="1" customWidth="1"/>
    <col min="2" max="2" width="10.85546875" customWidth="1"/>
    <col min="3" max="3" width="29.140625" customWidth="1"/>
    <col min="4" max="4" width="4.28515625" customWidth="1"/>
    <col min="5" max="5" width="4.28515625" bestFit="1" customWidth="1"/>
    <col min="6" max="6" width="9" bestFit="1" customWidth="1"/>
    <col min="7" max="7" width="11.28515625" bestFit="1" customWidth="1"/>
    <col min="8" max="8" width="10.85546875" bestFit="1" customWidth="1"/>
    <col min="9" max="9" width="8.7109375" customWidth="1"/>
    <col min="10" max="10" width="9.5703125" bestFit="1" customWidth="1"/>
    <col min="11" max="11" width="11.28515625" bestFit="1" customWidth="1"/>
    <col min="12" max="12" width="5.7109375" customWidth="1"/>
    <col min="15" max="15" width="11" bestFit="1" customWidth="1"/>
    <col min="16" max="16" width="9.5703125" bestFit="1" customWidth="1"/>
    <col min="17" max="17" width="10.85546875" bestFit="1" customWidth="1"/>
    <col min="18" max="18" width="9.5703125" bestFit="1" customWidth="1"/>
    <col min="19" max="19" width="8.42578125" bestFit="1" customWidth="1"/>
    <col min="20" max="20" width="10.5703125" bestFit="1" customWidth="1"/>
    <col min="21" max="21" width="16.7109375" bestFit="1" customWidth="1"/>
    <col min="22" max="22" width="13.28515625" bestFit="1" customWidth="1"/>
  </cols>
  <sheetData>
    <row r="1" spans="1:11" ht="25.5" customHeight="1" thickBot="1" x14ac:dyDescent="0.25"/>
    <row r="2" spans="1:11" ht="18.75" customHeight="1" x14ac:dyDescent="0.2">
      <c r="A2" s="546"/>
      <c r="B2" s="547"/>
      <c r="C2" s="552" t="s">
        <v>747</v>
      </c>
      <c r="D2" s="553"/>
      <c r="E2" s="553"/>
      <c r="F2" s="553"/>
      <c r="G2" s="553"/>
      <c r="H2" s="553"/>
      <c r="I2" s="554"/>
      <c r="J2" s="546" t="s">
        <v>748</v>
      </c>
      <c r="K2" s="547"/>
    </row>
    <row r="3" spans="1:11" ht="18.75" customHeight="1" x14ac:dyDescent="0.2">
      <c r="A3" s="548"/>
      <c r="B3" s="549"/>
      <c r="C3" s="555" t="s">
        <v>749</v>
      </c>
      <c r="D3" s="556"/>
      <c r="E3" s="556"/>
      <c r="F3" s="556"/>
      <c r="G3" s="556"/>
      <c r="H3" s="556"/>
      <c r="I3" s="557"/>
      <c r="J3" s="559">
        <f ca="1">NOW()</f>
        <v>43761.736742476853</v>
      </c>
      <c r="K3" s="560"/>
    </row>
    <row r="4" spans="1:11" ht="18.75" customHeight="1" thickBot="1" x14ac:dyDescent="0.25">
      <c r="A4" s="550"/>
      <c r="B4" s="551"/>
      <c r="C4" s="550" t="s">
        <v>750</v>
      </c>
      <c r="D4" s="558"/>
      <c r="E4" s="558"/>
      <c r="F4" s="558"/>
      <c r="G4" s="558"/>
      <c r="H4" s="558"/>
      <c r="I4" s="551"/>
      <c r="J4" s="513" t="s">
        <v>513</v>
      </c>
      <c r="K4" s="514"/>
    </row>
    <row r="5" spans="1:11" ht="33" customHeight="1" thickBot="1" x14ac:dyDescent="0.25">
      <c r="A5" s="543" t="s">
        <v>268</v>
      </c>
      <c r="B5" s="544"/>
      <c r="C5" s="544"/>
      <c r="D5" s="544"/>
      <c r="E5" s="544"/>
      <c r="F5" s="544"/>
      <c r="G5" s="544"/>
      <c r="H5" s="544"/>
      <c r="I5" s="544"/>
      <c r="J5" s="544"/>
      <c r="K5" s="545"/>
    </row>
    <row r="6" spans="1:11" ht="7.5" customHeight="1" x14ac:dyDescent="0.2">
      <c r="A6" s="577" t="s">
        <v>17</v>
      </c>
      <c r="B6" s="577"/>
      <c r="C6" s="577"/>
      <c r="D6" s="577"/>
      <c r="E6" s="577"/>
      <c r="F6" s="577"/>
      <c r="G6" s="577"/>
      <c r="H6" s="577"/>
      <c r="I6" s="577"/>
      <c r="J6" s="577"/>
      <c r="K6" s="577"/>
    </row>
    <row r="7" spans="1:11" ht="9" customHeight="1" x14ac:dyDescent="0.2">
      <c r="A7" s="578"/>
      <c r="B7" s="578"/>
      <c r="C7" s="578"/>
      <c r="D7" s="578"/>
      <c r="E7" s="578"/>
      <c r="F7" s="578"/>
      <c r="G7" s="578"/>
      <c r="H7" s="578"/>
      <c r="I7" s="578"/>
      <c r="J7" s="578"/>
      <c r="K7" s="578"/>
    </row>
    <row r="8" spans="1:11" ht="7.5" customHeight="1" x14ac:dyDescent="0.2">
      <c r="A8" s="578"/>
      <c r="B8" s="578"/>
      <c r="C8" s="578"/>
      <c r="D8" s="578"/>
      <c r="E8" s="578"/>
      <c r="F8" s="578"/>
      <c r="G8" s="578"/>
      <c r="H8" s="578"/>
      <c r="I8" s="578"/>
      <c r="J8" s="578"/>
      <c r="K8" s="578"/>
    </row>
    <row r="9" spans="1:11" x14ac:dyDescent="0.2">
      <c r="A9" s="570" t="s">
        <v>243</v>
      </c>
      <c r="B9" s="570"/>
      <c r="C9" s="570"/>
      <c r="D9" s="570"/>
      <c r="E9" s="568" t="s">
        <v>244</v>
      </c>
      <c r="F9" s="568"/>
      <c r="G9" s="568"/>
      <c r="H9" s="568" t="str">
        <f>'B1- ORÇAMENTO - PEV'!D6</f>
        <v>REF. SINAPI - 08/2019</v>
      </c>
      <c r="I9" s="568"/>
      <c r="J9" s="568"/>
      <c r="K9" s="568"/>
    </row>
    <row r="10" spans="1:11" x14ac:dyDescent="0.2">
      <c r="A10" s="569" t="s">
        <v>245</v>
      </c>
      <c r="B10" s="569" t="s">
        <v>261</v>
      </c>
      <c r="C10" s="569"/>
      <c r="D10" s="569"/>
      <c r="E10" s="569" t="s">
        <v>21</v>
      </c>
      <c r="F10" s="569" t="s">
        <v>246</v>
      </c>
      <c r="G10" s="572" t="s">
        <v>247</v>
      </c>
      <c r="H10" s="573"/>
      <c r="I10" s="576" t="s">
        <v>248</v>
      </c>
      <c r="J10" s="576"/>
      <c r="K10" s="569" t="s">
        <v>249</v>
      </c>
    </row>
    <row r="11" spans="1:11" ht="33.75" x14ac:dyDescent="0.2">
      <c r="A11" s="569"/>
      <c r="B11" s="569"/>
      <c r="C11" s="569"/>
      <c r="D11" s="569"/>
      <c r="E11" s="569"/>
      <c r="F11" s="569"/>
      <c r="G11" s="574"/>
      <c r="H11" s="575"/>
      <c r="I11" s="62" t="s">
        <v>251</v>
      </c>
      <c r="J11" s="62" t="s">
        <v>250</v>
      </c>
      <c r="K11" s="569"/>
    </row>
    <row r="12" spans="1:11" x14ac:dyDescent="0.2">
      <c r="A12" s="150">
        <v>88309</v>
      </c>
      <c r="B12" s="571" t="s">
        <v>252</v>
      </c>
      <c r="C12" s="571"/>
      <c r="D12" s="571"/>
      <c r="E12" s="177" t="s">
        <v>253</v>
      </c>
      <c r="F12" s="151">
        <v>4</v>
      </c>
      <c r="G12" s="563"/>
      <c r="H12" s="563"/>
      <c r="I12" s="177"/>
      <c r="J12" s="177"/>
      <c r="K12" s="177"/>
    </row>
    <row r="13" spans="1:11" x14ac:dyDescent="0.2">
      <c r="A13" s="150">
        <v>88316</v>
      </c>
      <c r="B13" s="571" t="s">
        <v>307</v>
      </c>
      <c r="C13" s="571"/>
      <c r="D13" s="571"/>
      <c r="E13" s="177" t="s">
        <v>253</v>
      </c>
      <c r="F13" s="151">
        <v>8</v>
      </c>
      <c r="G13" s="563"/>
      <c r="H13" s="563"/>
      <c r="I13" s="177"/>
      <c r="J13" s="177"/>
      <c r="K13" s="177"/>
    </row>
    <row r="14" spans="1:11" x14ac:dyDescent="0.2">
      <c r="A14" s="150">
        <v>6110</v>
      </c>
      <c r="B14" s="571" t="s">
        <v>155</v>
      </c>
      <c r="C14" s="571"/>
      <c r="D14" s="571"/>
      <c r="E14" s="177" t="s">
        <v>253</v>
      </c>
      <c r="F14" s="151">
        <v>16</v>
      </c>
      <c r="G14" s="563"/>
      <c r="H14" s="563"/>
      <c r="I14" s="177"/>
      <c r="J14" s="177"/>
      <c r="K14" s="177"/>
    </row>
    <row r="15" spans="1:11" x14ac:dyDescent="0.2">
      <c r="A15" s="150">
        <v>252</v>
      </c>
      <c r="B15" s="571" t="s">
        <v>254</v>
      </c>
      <c r="C15" s="571"/>
      <c r="D15" s="571"/>
      <c r="E15" s="177" t="s">
        <v>253</v>
      </c>
      <c r="F15" s="151">
        <v>16</v>
      </c>
      <c r="G15" s="563"/>
      <c r="H15" s="563"/>
      <c r="I15" s="177"/>
      <c r="J15" s="177"/>
      <c r="K15" s="177"/>
    </row>
    <row r="16" spans="1:11" ht="24" customHeight="1" x14ac:dyDescent="0.2">
      <c r="A16" s="150">
        <v>83761</v>
      </c>
      <c r="B16" s="583" t="s">
        <v>255</v>
      </c>
      <c r="C16" s="583"/>
      <c r="D16" s="583"/>
      <c r="E16" s="177" t="s">
        <v>253</v>
      </c>
      <c r="F16" s="151">
        <v>8</v>
      </c>
      <c r="G16" s="563"/>
      <c r="H16" s="563"/>
      <c r="I16" s="177"/>
      <c r="J16" s="177"/>
      <c r="K16" s="177"/>
    </row>
    <row r="17" spans="1:11" ht="24.75" customHeight="1" x14ac:dyDescent="0.2">
      <c r="A17" s="150">
        <v>43468</v>
      </c>
      <c r="B17" s="564" t="s">
        <v>555</v>
      </c>
      <c r="C17" s="564"/>
      <c r="D17" s="564"/>
      <c r="E17" s="177" t="s">
        <v>253</v>
      </c>
      <c r="F17" s="151">
        <v>26</v>
      </c>
      <c r="G17" s="563"/>
      <c r="H17" s="563"/>
      <c r="I17" s="177"/>
      <c r="J17" s="177"/>
      <c r="K17" s="177"/>
    </row>
    <row r="18" spans="1:11" ht="24" customHeight="1" x14ac:dyDescent="0.2">
      <c r="A18" s="150">
        <v>7692</v>
      </c>
      <c r="B18" s="584" t="s">
        <v>653</v>
      </c>
      <c r="C18" s="584"/>
      <c r="D18" s="584"/>
      <c r="E18" s="80" t="s">
        <v>24</v>
      </c>
      <c r="F18" s="151">
        <f>(3.5+0.8)*2</f>
        <v>8.6</v>
      </c>
      <c r="G18" s="563"/>
      <c r="H18" s="563"/>
      <c r="I18" s="177"/>
      <c r="J18" s="177"/>
      <c r="K18" s="177"/>
    </row>
    <row r="19" spans="1:11" x14ac:dyDescent="0.2">
      <c r="A19" s="150">
        <v>4777</v>
      </c>
      <c r="B19" s="566" t="s">
        <v>59</v>
      </c>
      <c r="C19" s="566"/>
      <c r="D19" s="566"/>
      <c r="E19" s="80" t="s">
        <v>24</v>
      </c>
      <c r="F19" s="151">
        <f>0.93*4</f>
        <v>3.72</v>
      </c>
      <c r="G19" s="563"/>
      <c r="H19" s="563"/>
      <c r="I19" s="177"/>
      <c r="J19" s="177"/>
      <c r="K19" s="177"/>
    </row>
    <row r="20" spans="1:11" ht="22.5" customHeight="1" x14ac:dyDescent="0.2">
      <c r="A20" s="150">
        <v>567</v>
      </c>
      <c r="B20" s="567" t="s">
        <v>257</v>
      </c>
      <c r="C20" s="567"/>
      <c r="D20" s="567"/>
      <c r="E20" s="80" t="s">
        <v>24</v>
      </c>
      <c r="F20" s="151">
        <f>4*4*0.5</f>
        <v>8</v>
      </c>
      <c r="G20" s="563"/>
      <c r="H20" s="563"/>
      <c r="I20" s="177"/>
      <c r="J20" s="177"/>
      <c r="K20" s="177"/>
    </row>
    <row r="21" spans="1:11" ht="24" customHeight="1" x14ac:dyDescent="0.2">
      <c r="A21" s="150">
        <v>39630</v>
      </c>
      <c r="B21" s="564" t="s">
        <v>587</v>
      </c>
      <c r="C21" s="564"/>
      <c r="D21" s="564"/>
      <c r="E21" s="80" t="s">
        <v>23</v>
      </c>
      <c r="F21" s="248">
        <v>7.44</v>
      </c>
      <c r="G21" s="563"/>
      <c r="H21" s="563"/>
      <c r="I21" s="177"/>
      <c r="J21" s="177"/>
      <c r="K21" s="177"/>
    </row>
    <row r="22" spans="1:11" ht="34.5" customHeight="1" x14ac:dyDescent="0.2">
      <c r="A22" s="150">
        <v>95468</v>
      </c>
      <c r="B22" s="564" t="s">
        <v>258</v>
      </c>
      <c r="C22" s="564"/>
      <c r="D22" s="564"/>
      <c r="E22" s="80" t="s">
        <v>23</v>
      </c>
      <c r="F22" s="151">
        <v>4.71</v>
      </c>
      <c r="G22" s="563"/>
      <c r="H22" s="563"/>
      <c r="I22" s="177"/>
      <c r="J22" s="177"/>
      <c r="K22" s="177"/>
    </row>
    <row r="23" spans="1:11" x14ac:dyDescent="0.2">
      <c r="A23" s="150" t="s">
        <v>256</v>
      </c>
      <c r="B23" s="564" t="s">
        <v>556</v>
      </c>
      <c r="C23" s="564"/>
      <c r="D23" s="564"/>
      <c r="E23" s="80" t="s">
        <v>23</v>
      </c>
      <c r="F23" s="151">
        <v>7.44</v>
      </c>
      <c r="G23" s="563"/>
      <c r="H23" s="563"/>
      <c r="I23" s="177"/>
      <c r="J23" s="177"/>
      <c r="K23" s="177"/>
    </row>
    <row r="24" spans="1:11" x14ac:dyDescent="0.2">
      <c r="A24" s="197"/>
      <c r="B24" s="564"/>
      <c r="C24" s="564"/>
      <c r="D24" s="564"/>
      <c r="E24" s="564"/>
      <c r="F24" s="564"/>
      <c r="G24" s="564"/>
      <c r="H24" s="564"/>
      <c r="I24" s="198"/>
      <c r="J24" s="565"/>
      <c r="K24" s="565"/>
    </row>
    <row r="25" spans="1:11" x14ac:dyDescent="0.2">
      <c r="A25" s="81"/>
      <c r="B25" s="561" t="s">
        <v>32</v>
      </c>
      <c r="C25" s="561"/>
      <c r="D25" s="561"/>
      <c r="E25" s="561"/>
      <c r="F25" s="561"/>
      <c r="G25" s="561"/>
      <c r="H25" s="561"/>
      <c r="I25" s="561"/>
      <c r="J25" s="562"/>
      <c r="K25" s="562"/>
    </row>
    <row r="26" spans="1:1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1"/>
      <c r="B28" s="54"/>
      <c r="C28" s="54"/>
      <c r="D28" s="54"/>
      <c r="E28" s="54"/>
      <c r="F28" s="54"/>
      <c r="G28" s="54"/>
      <c r="H28" s="54"/>
      <c r="I28" s="61"/>
      <c r="J28" s="61"/>
      <c r="K28" s="61"/>
    </row>
    <row r="29" spans="1:11" x14ac:dyDescent="0.2">
      <c r="A29" s="61"/>
      <c r="B29" s="61"/>
      <c r="C29" s="61"/>
      <c r="D29" s="61"/>
      <c r="E29" s="66"/>
      <c r="F29" s="66"/>
      <c r="G29" s="66"/>
      <c r="H29" s="66"/>
      <c r="I29" s="61"/>
      <c r="J29" s="61"/>
      <c r="K29" s="61"/>
    </row>
    <row r="30" spans="1:11" x14ac:dyDescent="0.2">
      <c r="A30" s="61"/>
      <c r="B30" s="581"/>
      <c r="C30" s="581"/>
      <c r="D30" s="581"/>
      <c r="E30" s="67"/>
      <c r="F30" s="67"/>
      <c r="G30" s="581"/>
      <c r="H30" s="581"/>
      <c r="I30" s="581"/>
      <c r="J30" s="581"/>
      <c r="K30" s="61"/>
    </row>
    <row r="31" spans="1:11" x14ac:dyDescent="0.2">
      <c r="A31" s="61"/>
      <c r="B31" s="581"/>
      <c r="C31" s="581"/>
      <c r="D31" s="581"/>
      <c r="E31" s="68"/>
      <c r="F31" s="68"/>
      <c r="G31" s="582"/>
      <c r="H31" s="582"/>
      <c r="I31" s="582"/>
      <c r="J31" s="582"/>
      <c r="K31" s="61"/>
    </row>
    <row r="32" spans="1:11" x14ac:dyDescent="0.2">
      <c r="A32" s="61"/>
      <c r="B32" s="579"/>
      <c r="C32" s="579"/>
      <c r="D32" s="579"/>
      <c r="E32" s="61"/>
      <c r="F32" s="61"/>
      <c r="G32" s="579"/>
      <c r="H32" s="579"/>
      <c r="I32" s="579"/>
      <c r="J32" s="579"/>
      <c r="K32" s="61"/>
    </row>
    <row r="33" spans="1:1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x14ac:dyDescent="0.2">
      <c r="A34" s="61"/>
      <c r="B34" s="61"/>
      <c r="C34" s="579"/>
      <c r="D34" s="579"/>
      <c r="E34" s="579"/>
      <c r="F34" s="579"/>
      <c r="G34" s="579"/>
      <c r="H34" s="579"/>
      <c r="I34" s="579"/>
      <c r="J34" s="61"/>
      <c r="K34" s="61"/>
    </row>
    <row r="35" spans="1:11" x14ac:dyDescent="0.2">
      <c r="A35" s="33"/>
      <c r="B35" s="33"/>
      <c r="C35" s="580"/>
      <c r="D35" s="580"/>
      <c r="E35" s="580"/>
      <c r="F35" s="580"/>
      <c r="G35" s="580"/>
      <c r="H35" s="580"/>
      <c r="I35" s="580"/>
      <c r="J35" s="33"/>
      <c r="K35" s="33"/>
    </row>
    <row r="36" spans="1:11" x14ac:dyDescent="0.2">
      <c r="A36" s="33"/>
      <c r="B36" s="33"/>
      <c r="C36" s="580"/>
      <c r="D36" s="580"/>
      <c r="E36" s="580"/>
      <c r="F36" s="580"/>
      <c r="G36" s="580"/>
      <c r="H36" s="580"/>
      <c r="I36" s="580"/>
      <c r="J36" s="33"/>
      <c r="K36" s="33"/>
    </row>
    <row r="37" spans="1:1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</sheetData>
  <mergeCells count="56">
    <mergeCell ref="A6:K8"/>
    <mergeCell ref="C34:I34"/>
    <mergeCell ref="C35:I35"/>
    <mergeCell ref="C36:I36"/>
    <mergeCell ref="B32:D32"/>
    <mergeCell ref="G30:J30"/>
    <mergeCell ref="G31:J31"/>
    <mergeCell ref="G32:J32"/>
    <mergeCell ref="B31:D31"/>
    <mergeCell ref="B30:D30"/>
    <mergeCell ref="B21:D21"/>
    <mergeCell ref="B22:D22"/>
    <mergeCell ref="B15:D15"/>
    <mergeCell ref="B16:D16"/>
    <mergeCell ref="B17:D17"/>
    <mergeCell ref="B18:D18"/>
    <mergeCell ref="H9:K9"/>
    <mergeCell ref="F10:F11"/>
    <mergeCell ref="A9:D9"/>
    <mergeCell ref="B14:D14"/>
    <mergeCell ref="A10:A11"/>
    <mergeCell ref="B10:D11"/>
    <mergeCell ref="E10:E11"/>
    <mergeCell ref="E9:G9"/>
    <mergeCell ref="G10:H11"/>
    <mergeCell ref="G12:H12"/>
    <mergeCell ref="G13:H13"/>
    <mergeCell ref="G14:H14"/>
    <mergeCell ref="I10:J10"/>
    <mergeCell ref="K10:K11"/>
    <mergeCell ref="B12:D12"/>
    <mergeCell ref="B13:D13"/>
    <mergeCell ref="B25:I25"/>
    <mergeCell ref="J25:K25"/>
    <mergeCell ref="G15:H15"/>
    <mergeCell ref="G16:H16"/>
    <mergeCell ref="G22:H22"/>
    <mergeCell ref="G23:H23"/>
    <mergeCell ref="G17:H17"/>
    <mergeCell ref="G18:H18"/>
    <mergeCell ref="G19:H19"/>
    <mergeCell ref="G20:H20"/>
    <mergeCell ref="G21:H21"/>
    <mergeCell ref="B23:D23"/>
    <mergeCell ref="B24:H24"/>
    <mergeCell ref="J24:K24"/>
    <mergeCell ref="B19:D19"/>
    <mergeCell ref="B20:D20"/>
    <mergeCell ref="A5:K5"/>
    <mergeCell ref="A2:B4"/>
    <mergeCell ref="C2:I2"/>
    <mergeCell ref="C3:I3"/>
    <mergeCell ref="C4:I4"/>
    <mergeCell ref="J2:K2"/>
    <mergeCell ref="J4:K4"/>
    <mergeCell ref="J3:K3"/>
  </mergeCells>
  <printOptions horizontalCentered="1"/>
  <pageMargins left="0.36" right="0.37" top="0.51" bottom="0.78740157480314965" header="0.31496062992125984" footer="0.31496062992125984"/>
  <pageSetup paperSize="9"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F199"/>
  <sheetViews>
    <sheetView showGridLines="0" view="pageBreakPreview" topLeftCell="A159" zoomScale="90" zoomScaleNormal="100" zoomScaleSheetLayoutView="90" workbookViewId="0">
      <selection activeCell="L194" sqref="L194"/>
    </sheetView>
  </sheetViews>
  <sheetFormatPr defaultRowHeight="12.75" x14ac:dyDescent="0.2"/>
  <cols>
    <col min="1" max="1" width="8.28515625" style="213" bestFit="1" customWidth="1"/>
    <col min="2" max="2" width="16.28515625" style="213" bestFit="1" customWidth="1"/>
    <col min="3" max="3" width="13.28515625" style="213" bestFit="1" customWidth="1"/>
    <col min="4" max="4" width="15.5703125" style="213" bestFit="1" customWidth="1"/>
    <col min="5" max="5" width="14.42578125" style="213" customWidth="1"/>
    <col min="6" max="6" width="10.5703125" style="213" customWidth="1"/>
    <col min="7" max="7" width="16.7109375" style="213" customWidth="1"/>
    <col min="8" max="8" width="11.28515625" style="213" bestFit="1" customWidth="1"/>
    <col min="9" max="9" width="11.140625" style="213" bestFit="1" customWidth="1"/>
    <col min="10" max="10" width="8.5703125" style="213" bestFit="1" customWidth="1"/>
    <col min="11" max="11" width="9.140625" style="213"/>
    <col min="13" max="13" width="0" hidden="1" customWidth="1"/>
    <col min="23" max="23" width="11" bestFit="1" customWidth="1"/>
    <col min="24" max="24" width="9.5703125" bestFit="1" customWidth="1"/>
    <col min="25" max="25" width="10.85546875" bestFit="1" customWidth="1"/>
    <col min="26" max="26" width="9.5703125" bestFit="1" customWidth="1"/>
    <col min="27" max="27" width="8.42578125" bestFit="1" customWidth="1"/>
    <col min="28" max="28" width="9.5703125" bestFit="1" customWidth="1"/>
    <col min="29" max="29" width="16.7109375" bestFit="1" customWidth="1"/>
    <col min="30" max="30" width="13.28515625" bestFit="1" customWidth="1"/>
    <col min="33" max="16384" width="9.140625" style="213"/>
  </cols>
  <sheetData>
    <row r="2" spans="1:11" ht="18.75" customHeight="1" x14ac:dyDescent="0.2">
      <c r="K2" s="125"/>
    </row>
    <row r="3" spans="1:11" ht="15.75" customHeight="1" thickBot="1" x14ac:dyDescent="0.25">
      <c r="K3" s="125"/>
    </row>
    <row r="4" spans="1:11" ht="18.75" customHeight="1" x14ac:dyDescent="0.2">
      <c r="A4" s="546"/>
      <c r="B4" s="547"/>
      <c r="C4" s="553" t="s">
        <v>747</v>
      </c>
      <c r="D4" s="553"/>
      <c r="E4" s="553"/>
      <c r="F4" s="553"/>
      <c r="G4" s="553"/>
      <c r="H4" s="554"/>
      <c r="I4" s="546" t="s">
        <v>748</v>
      </c>
      <c r="J4" s="547"/>
      <c r="K4" s="125"/>
    </row>
    <row r="5" spans="1:11" ht="18.75" customHeight="1" x14ac:dyDescent="0.2">
      <c r="A5" s="548"/>
      <c r="B5" s="549"/>
      <c r="C5" s="556" t="s">
        <v>749</v>
      </c>
      <c r="D5" s="556"/>
      <c r="E5" s="556"/>
      <c r="F5" s="556"/>
      <c r="G5" s="556"/>
      <c r="H5" s="557"/>
      <c r="I5" s="559">
        <f ca="1">NOW()</f>
        <v>43761.736742476853</v>
      </c>
      <c r="J5" s="560"/>
      <c r="K5" s="125"/>
    </row>
    <row r="6" spans="1:11" ht="18.75" customHeight="1" thickBot="1" x14ac:dyDescent="0.25">
      <c r="A6" s="550"/>
      <c r="B6" s="551"/>
      <c r="C6" s="558" t="s">
        <v>750</v>
      </c>
      <c r="D6" s="558"/>
      <c r="E6" s="558"/>
      <c r="F6" s="558"/>
      <c r="G6" s="558"/>
      <c r="H6" s="551"/>
      <c r="I6" s="513" t="s">
        <v>513</v>
      </c>
      <c r="J6" s="514"/>
      <c r="K6" s="125"/>
    </row>
    <row r="7" spans="1:11" ht="33" customHeight="1" thickBot="1" x14ac:dyDescent="0.25">
      <c r="A7" s="595" t="s">
        <v>794</v>
      </c>
      <c r="B7" s="596"/>
      <c r="C7" s="596"/>
      <c r="D7" s="596"/>
      <c r="E7" s="596"/>
      <c r="F7" s="596"/>
      <c r="G7" s="596"/>
      <c r="H7" s="596"/>
      <c r="I7" s="596"/>
      <c r="J7" s="597"/>
      <c r="K7" s="125"/>
    </row>
    <row r="8" spans="1:11" ht="21.95" customHeight="1" thickBot="1" x14ac:dyDescent="0.25">
      <c r="B8" s="598" t="s">
        <v>430</v>
      </c>
      <c r="C8" s="599"/>
      <c r="D8" s="599"/>
      <c r="E8" s="599"/>
      <c r="F8" s="599"/>
      <c r="G8" s="599"/>
      <c r="H8" s="599"/>
      <c r="I8" s="600"/>
      <c r="K8" s="125"/>
    </row>
    <row r="9" spans="1:11" x14ac:dyDescent="0.2">
      <c r="B9" s="601" t="s">
        <v>26</v>
      </c>
      <c r="C9" s="602"/>
      <c r="D9" s="602"/>
      <c r="E9" s="122" t="s">
        <v>431</v>
      </c>
      <c r="F9" s="233" t="s">
        <v>434</v>
      </c>
      <c r="G9" s="605" t="s">
        <v>433</v>
      </c>
      <c r="H9" s="605"/>
      <c r="I9" s="606"/>
      <c r="K9" s="125"/>
    </row>
    <row r="10" spans="1:11" x14ac:dyDescent="0.2">
      <c r="B10" s="603" t="s">
        <v>129</v>
      </c>
      <c r="C10" s="604"/>
      <c r="D10" s="604"/>
      <c r="E10" s="228">
        <v>26.5</v>
      </c>
      <c r="F10" s="228">
        <v>25</v>
      </c>
      <c r="G10" s="607">
        <f>E10*F10</f>
        <v>662.5</v>
      </c>
      <c r="H10" s="607"/>
      <c r="I10" s="608"/>
      <c r="K10" s="125"/>
    </row>
    <row r="11" spans="1:11" x14ac:dyDescent="0.2">
      <c r="B11" s="603" t="s">
        <v>602</v>
      </c>
      <c r="C11" s="604"/>
      <c r="D11" s="604"/>
      <c r="E11" s="228">
        <v>25</v>
      </c>
      <c r="F11" s="228">
        <v>2.5</v>
      </c>
      <c r="G11" s="607">
        <f>E11*F11</f>
        <v>62.5</v>
      </c>
      <c r="H11" s="607"/>
      <c r="I11" s="608"/>
      <c r="K11" s="125"/>
    </row>
    <row r="12" spans="1:11" ht="13.5" thickBot="1" x14ac:dyDescent="0.25">
      <c r="B12" s="609" t="s">
        <v>61</v>
      </c>
      <c r="C12" s="610"/>
      <c r="D12" s="610"/>
      <c r="E12" s="610"/>
      <c r="F12" s="610"/>
      <c r="G12" s="611">
        <f>SUM(G10:I11)</f>
        <v>725</v>
      </c>
      <c r="H12" s="612"/>
      <c r="I12" s="613"/>
      <c r="K12" s="125"/>
    </row>
    <row r="13" spans="1:11" ht="9" customHeight="1" thickBot="1" x14ac:dyDescent="0.25">
      <c r="A13" s="121"/>
      <c r="B13" s="121"/>
      <c r="C13" s="121"/>
      <c r="D13" s="121"/>
      <c r="E13" s="121"/>
      <c r="F13" s="134"/>
      <c r="G13" s="214"/>
      <c r="H13" s="214"/>
      <c r="I13" s="215"/>
      <c r="K13" s="125"/>
    </row>
    <row r="14" spans="1:11" ht="21.95" customHeight="1" thickBot="1" x14ac:dyDescent="0.25">
      <c r="B14" s="615" t="s">
        <v>435</v>
      </c>
      <c r="C14" s="616"/>
      <c r="D14" s="616"/>
      <c r="E14" s="616"/>
      <c r="F14" s="616"/>
      <c r="G14" s="616"/>
      <c r="H14" s="616"/>
      <c r="I14" s="617"/>
      <c r="K14" s="125"/>
    </row>
    <row r="15" spans="1:11" x14ac:dyDescent="0.2">
      <c r="B15" s="618" t="s">
        <v>95</v>
      </c>
      <c r="C15" s="619"/>
      <c r="D15" s="619" t="s">
        <v>764</v>
      </c>
      <c r="E15" s="619"/>
      <c r="F15" s="130" t="s">
        <v>436</v>
      </c>
      <c r="G15" s="226" t="s">
        <v>438</v>
      </c>
      <c r="H15" s="619" t="s">
        <v>439</v>
      </c>
      <c r="I15" s="627"/>
      <c r="K15" s="125"/>
    </row>
    <row r="16" spans="1:11" ht="13.5" thickBot="1" x14ac:dyDescent="0.25">
      <c r="B16" s="628">
        <f>G12</f>
        <v>725</v>
      </c>
      <c r="C16" s="621"/>
      <c r="D16" s="621">
        <v>0.1</v>
      </c>
      <c r="E16" s="621"/>
      <c r="F16" s="229">
        <f>B16*D16</f>
        <v>72.5</v>
      </c>
      <c r="G16" s="230">
        <v>1.31</v>
      </c>
      <c r="H16" s="611">
        <f>F16*G16</f>
        <v>94.975000000000009</v>
      </c>
      <c r="I16" s="622"/>
      <c r="K16" s="125"/>
    </row>
    <row r="17" spans="1:11" ht="9" customHeight="1" thickBot="1" x14ac:dyDescent="0.25">
      <c r="K17" s="125"/>
    </row>
    <row r="18" spans="1:11" ht="21.95" customHeight="1" thickBot="1" x14ac:dyDescent="0.25">
      <c r="B18" s="629" t="s">
        <v>605</v>
      </c>
      <c r="C18" s="630"/>
      <c r="D18" s="630"/>
      <c r="E18" s="630"/>
      <c r="F18" s="630"/>
      <c r="G18" s="630"/>
      <c r="H18" s="630"/>
      <c r="I18" s="631"/>
      <c r="K18" s="125"/>
    </row>
    <row r="19" spans="1:11" x14ac:dyDescent="0.2">
      <c r="B19" s="591" t="s">
        <v>26</v>
      </c>
      <c r="C19" s="587"/>
      <c r="D19" s="587" t="s">
        <v>441</v>
      </c>
      <c r="E19" s="587"/>
      <c r="F19" s="587" t="s">
        <v>432</v>
      </c>
      <c r="G19" s="587"/>
      <c r="H19" s="587" t="s">
        <v>448</v>
      </c>
      <c r="I19" s="588"/>
      <c r="K19" s="125"/>
    </row>
    <row r="20" spans="1:11" x14ac:dyDescent="0.2">
      <c r="B20" s="592"/>
      <c r="C20" s="589"/>
      <c r="D20" s="224">
        <v>26.5</v>
      </c>
      <c r="E20" s="224">
        <v>26.5</v>
      </c>
      <c r="F20" s="224">
        <v>25</v>
      </c>
      <c r="G20" s="224">
        <v>25</v>
      </c>
      <c r="H20" s="589"/>
      <c r="I20" s="590"/>
      <c r="K20" s="125"/>
    </row>
    <row r="21" spans="1:11" ht="13.5" thickBot="1" x14ac:dyDescent="0.25">
      <c r="B21" s="620" t="str">
        <f>'B1- ORÇAMENTO - PEV'!$B$15</f>
        <v>1.4</v>
      </c>
      <c r="C21" s="621"/>
      <c r="D21" s="611">
        <f>+D20+E20</f>
        <v>53</v>
      </c>
      <c r="E21" s="611"/>
      <c r="F21" s="593">
        <f>F20+G20</f>
        <v>50</v>
      </c>
      <c r="G21" s="594"/>
      <c r="H21" s="611">
        <f>D21+F21</f>
        <v>103</v>
      </c>
      <c r="I21" s="622"/>
      <c r="K21" s="125"/>
    </row>
    <row r="22" spans="1:11" ht="9" customHeight="1" thickBot="1" x14ac:dyDescent="0.25">
      <c r="A22" s="214"/>
      <c r="B22" s="214"/>
      <c r="C22" s="134"/>
      <c r="D22" s="134"/>
      <c r="E22" s="134"/>
      <c r="F22" s="134"/>
      <c r="G22" s="134"/>
      <c r="H22" s="134"/>
      <c r="K22" s="125"/>
    </row>
    <row r="23" spans="1:11" ht="21.95" customHeight="1" thickBot="1" x14ac:dyDescent="0.25">
      <c r="B23" s="624" t="s">
        <v>442</v>
      </c>
      <c r="C23" s="625"/>
      <c r="D23" s="625"/>
      <c r="E23" s="625"/>
      <c r="F23" s="625"/>
      <c r="G23" s="625"/>
      <c r="H23" s="625"/>
      <c r="I23" s="626"/>
      <c r="K23" s="125"/>
    </row>
    <row r="24" spans="1:11" x14ac:dyDescent="0.2">
      <c r="B24" s="209" t="s">
        <v>26</v>
      </c>
      <c r="C24" s="128" t="s">
        <v>95</v>
      </c>
      <c r="D24" s="619" t="s">
        <v>140</v>
      </c>
      <c r="E24" s="619"/>
      <c r="F24" s="619" t="s">
        <v>141</v>
      </c>
      <c r="G24" s="619"/>
      <c r="H24" s="619" t="s">
        <v>439</v>
      </c>
      <c r="I24" s="627"/>
      <c r="K24" s="125"/>
    </row>
    <row r="25" spans="1:11" x14ac:dyDescent="0.2">
      <c r="B25" s="82" t="s">
        <v>139</v>
      </c>
      <c r="C25" s="136">
        <v>338.86</v>
      </c>
      <c r="D25" s="632">
        <v>0.2</v>
      </c>
      <c r="E25" s="632"/>
      <c r="F25" s="632">
        <v>0</v>
      </c>
      <c r="G25" s="632"/>
      <c r="H25" s="607">
        <f>C25*D25</f>
        <v>67.772000000000006</v>
      </c>
      <c r="I25" s="608"/>
      <c r="K25" s="125"/>
    </row>
    <row r="26" spans="1:11" x14ac:dyDescent="0.2">
      <c r="B26" s="239" t="s">
        <v>142</v>
      </c>
      <c r="C26" s="228">
        <v>193.9</v>
      </c>
      <c r="D26" s="607">
        <v>1.05</v>
      </c>
      <c r="E26" s="607"/>
      <c r="F26" s="607">
        <v>0</v>
      </c>
      <c r="G26" s="607"/>
      <c r="H26" s="607">
        <f>C26*D26</f>
        <v>203.59500000000003</v>
      </c>
      <c r="I26" s="608"/>
      <c r="J26" s="216"/>
      <c r="K26" s="125"/>
    </row>
    <row r="27" spans="1:11" x14ac:dyDescent="0.2">
      <c r="B27" s="239" t="s">
        <v>119</v>
      </c>
      <c r="C27" s="228">
        <v>29.74</v>
      </c>
      <c r="D27" s="607">
        <v>1.05</v>
      </c>
      <c r="E27" s="607"/>
      <c r="F27" s="607">
        <v>0</v>
      </c>
      <c r="G27" s="607"/>
      <c r="H27" s="607">
        <f>C27*D27</f>
        <v>31.227</v>
      </c>
      <c r="I27" s="608"/>
      <c r="J27" s="216"/>
      <c r="K27" s="125"/>
    </row>
    <row r="28" spans="1:11" ht="13.5" thickBot="1" x14ac:dyDescent="0.25">
      <c r="B28" s="634" t="s">
        <v>61</v>
      </c>
      <c r="C28" s="612"/>
      <c r="D28" s="612"/>
      <c r="E28" s="612"/>
      <c r="F28" s="612"/>
      <c r="G28" s="612"/>
      <c r="H28" s="611">
        <f>SUM(H26:I27)</f>
        <v>234.82200000000003</v>
      </c>
      <c r="I28" s="613"/>
      <c r="J28" s="216"/>
      <c r="K28" s="125"/>
    </row>
    <row r="29" spans="1:11" ht="9" customHeight="1" thickBot="1" x14ac:dyDescent="0.25">
      <c r="A29" s="214"/>
      <c r="B29" s="214"/>
      <c r="C29" s="214"/>
      <c r="D29" s="214"/>
      <c r="E29" s="214"/>
      <c r="F29" s="214"/>
      <c r="G29" s="124"/>
      <c r="H29" s="123"/>
      <c r="I29" s="216"/>
      <c r="J29" s="216"/>
      <c r="K29" s="125"/>
    </row>
    <row r="30" spans="1:11" ht="21.95" customHeight="1" thickBot="1" x14ac:dyDescent="0.25">
      <c r="B30" s="615" t="s">
        <v>443</v>
      </c>
      <c r="C30" s="616"/>
      <c r="D30" s="616"/>
      <c r="E30" s="616"/>
      <c r="F30" s="616"/>
      <c r="G30" s="616"/>
      <c r="H30" s="616"/>
      <c r="I30" s="617"/>
      <c r="K30" s="125"/>
    </row>
    <row r="31" spans="1:11" x14ac:dyDescent="0.2">
      <c r="B31" s="601" t="s">
        <v>120</v>
      </c>
      <c r="C31" s="602"/>
      <c r="D31" s="602"/>
      <c r="E31" s="602"/>
      <c r="F31" s="619" t="s">
        <v>437</v>
      </c>
      <c r="G31" s="619"/>
      <c r="H31" s="585" t="s">
        <v>439</v>
      </c>
      <c r="I31" s="586"/>
      <c r="K31" s="125"/>
    </row>
    <row r="32" spans="1:11" ht="13.5" thickBot="1" x14ac:dyDescent="0.25">
      <c r="B32" s="628">
        <f>H28</f>
        <v>234.82200000000003</v>
      </c>
      <c r="C32" s="633"/>
      <c r="D32" s="633"/>
      <c r="E32" s="633"/>
      <c r="F32" s="633">
        <v>1.31</v>
      </c>
      <c r="G32" s="633"/>
      <c r="H32" s="611">
        <f>B32*F32</f>
        <v>307.61682000000008</v>
      </c>
      <c r="I32" s="622"/>
      <c r="K32" s="125"/>
    </row>
    <row r="33" spans="1:11" ht="9" customHeight="1" thickBot="1" x14ac:dyDescent="0.25">
      <c r="A33" s="134"/>
      <c r="B33" s="134"/>
      <c r="C33" s="134"/>
      <c r="D33" s="134"/>
      <c r="E33" s="134"/>
      <c r="F33" s="134"/>
      <c r="G33" s="134"/>
      <c r="H33" s="134"/>
      <c r="K33" s="125"/>
    </row>
    <row r="34" spans="1:11" ht="21.95" customHeight="1" thickBot="1" x14ac:dyDescent="0.25">
      <c r="B34" s="629" t="s">
        <v>603</v>
      </c>
      <c r="C34" s="630"/>
      <c r="D34" s="630"/>
      <c r="E34" s="630"/>
      <c r="F34" s="630"/>
      <c r="G34" s="630"/>
      <c r="H34" s="630"/>
      <c r="I34" s="631"/>
      <c r="K34" s="125"/>
    </row>
    <row r="35" spans="1:11" x14ac:dyDescent="0.2">
      <c r="B35" s="618" t="s">
        <v>439</v>
      </c>
      <c r="C35" s="619"/>
      <c r="D35" s="619"/>
      <c r="E35" s="619" t="s">
        <v>97</v>
      </c>
      <c r="F35" s="619"/>
      <c r="G35" s="619" t="s">
        <v>444</v>
      </c>
      <c r="H35" s="619"/>
      <c r="I35" s="627"/>
      <c r="J35" s="216"/>
      <c r="K35" s="125"/>
    </row>
    <row r="36" spans="1:11" ht="13.5" thickBot="1" x14ac:dyDescent="0.25">
      <c r="B36" s="623">
        <f>H32</f>
        <v>307.61682000000008</v>
      </c>
      <c r="C36" s="612"/>
      <c r="D36" s="612"/>
      <c r="E36" s="612">
        <v>22</v>
      </c>
      <c r="F36" s="612"/>
      <c r="G36" s="611">
        <f>B36*E36</f>
        <v>6767.5700400000014</v>
      </c>
      <c r="H36" s="611"/>
      <c r="I36" s="622"/>
      <c r="J36" s="216"/>
      <c r="K36" s="125"/>
    </row>
    <row r="37" spans="1:11" ht="9" customHeight="1" thickBot="1" x14ac:dyDescent="0.25">
      <c r="A37" s="134"/>
      <c r="B37" s="214"/>
      <c r="C37" s="214"/>
      <c r="D37" s="214"/>
      <c r="E37" s="214"/>
      <c r="F37" s="134"/>
      <c r="G37" s="134"/>
      <c r="H37" s="134"/>
      <c r="I37" s="216"/>
      <c r="J37" s="216"/>
      <c r="K37" s="125"/>
    </row>
    <row r="38" spans="1:11" ht="21.95" customHeight="1" thickBot="1" x14ac:dyDescent="0.25">
      <c r="B38" s="629" t="s">
        <v>604</v>
      </c>
      <c r="C38" s="630"/>
      <c r="D38" s="630"/>
      <c r="E38" s="630"/>
      <c r="F38" s="630"/>
      <c r="G38" s="630"/>
      <c r="H38" s="630"/>
      <c r="I38" s="631"/>
      <c r="J38" s="216"/>
      <c r="K38" s="125"/>
    </row>
    <row r="39" spans="1:11" x14ac:dyDescent="0.2">
      <c r="B39" s="618" t="s">
        <v>439</v>
      </c>
      <c r="C39" s="619"/>
      <c r="D39" s="619"/>
      <c r="E39" s="619" t="s">
        <v>97</v>
      </c>
      <c r="F39" s="619"/>
      <c r="G39" s="619" t="s">
        <v>444</v>
      </c>
      <c r="H39" s="619"/>
      <c r="I39" s="627"/>
    </row>
    <row r="40" spans="1:11" ht="13.5" thickBot="1" x14ac:dyDescent="0.25">
      <c r="B40" s="623">
        <f>H32</f>
        <v>307.61682000000008</v>
      </c>
      <c r="C40" s="612"/>
      <c r="D40" s="612"/>
      <c r="E40" s="612">
        <f>$E$36</f>
        <v>22</v>
      </c>
      <c r="F40" s="612"/>
      <c r="G40" s="611">
        <f>B40*E40</f>
        <v>6767.5700400000014</v>
      </c>
      <c r="H40" s="611"/>
      <c r="I40" s="622"/>
    </row>
    <row r="41" spans="1:11" ht="9" customHeight="1" thickBot="1" x14ac:dyDescent="0.25">
      <c r="A41" s="134"/>
      <c r="B41" s="214"/>
      <c r="C41" s="214"/>
      <c r="D41" s="214"/>
      <c r="E41" s="214"/>
      <c r="F41" s="134"/>
      <c r="G41" s="134"/>
      <c r="H41" s="134"/>
    </row>
    <row r="42" spans="1:11" ht="24" customHeight="1" thickBot="1" x14ac:dyDescent="0.25">
      <c r="B42" s="638" t="s">
        <v>445</v>
      </c>
      <c r="C42" s="639"/>
      <c r="D42" s="639"/>
      <c r="E42" s="639"/>
      <c r="F42" s="639"/>
      <c r="G42" s="639"/>
      <c r="H42" s="639"/>
      <c r="I42" s="640"/>
    </row>
    <row r="43" spans="1:11" x14ac:dyDescent="0.2">
      <c r="B43" s="591" t="s">
        <v>441</v>
      </c>
      <c r="C43" s="587"/>
      <c r="D43" s="237" t="s">
        <v>432</v>
      </c>
      <c r="E43" s="587" t="s">
        <v>446</v>
      </c>
      <c r="F43" s="587"/>
      <c r="G43" s="587" t="s">
        <v>447</v>
      </c>
      <c r="H43" s="587"/>
      <c r="I43" s="210" t="s">
        <v>448</v>
      </c>
    </row>
    <row r="44" spans="1:11" ht="13.5" thickBot="1" x14ac:dyDescent="0.25">
      <c r="B44" s="623">
        <f>$D$21</f>
        <v>53</v>
      </c>
      <c r="C44" s="611"/>
      <c r="D44" s="231">
        <f>$F$21</f>
        <v>50</v>
      </c>
      <c r="E44" s="611">
        <v>5</v>
      </c>
      <c r="F44" s="611"/>
      <c r="G44" s="611">
        <v>2</v>
      </c>
      <c r="H44" s="611"/>
      <c r="I44" s="245">
        <f>+B44+D44-E44-G44</f>
        <v>96</v>
      </c>
    </row>
    <row r="45" spans="1:11" ht="9" customHeight="1" thickBot="1" x14ac:dyDescent="0.25">
      <c r="G45" s="216"/>
      <c r="H45" s="216"/>
    </row>
    <row r="46" spans="1:11" ht="21.95" customHeight="1" thickBot="1" x14ac:dyDescent="0.25">
      <c r="B46" s="635" t="s">
        <v>288</v>
      </c>
      <c r="C46" s="636"/>
      <c r="D46" s="636"/>
      <c r="E46" s="636"/>
      <c r="F46" s="636"/>
      <c r="G46" s="636"/>
      <c r="H46" s="636"/>
      <c r="I46" s="637"/>
    </row>
    <row r="47" spans="1:11" x14ac:dyDescent="0.2">
      <c r="B47" s="618" t="s">
        <v>26</v>
      </c>
      <c r="C47" s="619"/>
      <c r="D47" s="619" t="s">
        <v>746</v>
      </c>
      <c r="E47" s="619"/>
      <c r="F47" s="619" t="s">
        <v>434</v>
      </c>
      <c r="G47" s="619"/>
      <c r="H47" s="602" t="s">
        <v>440</v>
      </c>
      <c r="I47" s="641"/>
    </row>
    <row r="48" spans="1:11" ht="13.5" thickBot="1" x14ac:dyDescent="0.25">
      <c r="B48" s="642" t="s">
        <v>449</v>
      </c>
      <c r="C48" s="643"/>
      <c r="D48" s="611">
        <v>35.51</v>
      </c>
      <c r="E48" s="612"/>
      <c r="F48" s="611">
        <v>1</v>
      </c>
      <c r="G48" s="612"/>
      <c r="H48" s="611">
        <f>D48*F48</f>
        <v>35.51</v>
      </c>
      <c r="I48" s="622"/>
    </row>
    <row r="49" spans="1:11" ht="9" customHeight="1" thickBot="1" x14ac:dyDescent="0.25">
      <c r="G49" s="216"/>
      <c r="H49" s="216"/>
    </row>
    <row r="50" spans="1:11" ht="24" customHeight="1" thickBot="1" x14ac:dyDescent="0.25">
      <c r="B50" s="635" t="s">
        <v>31</v>
      </c>
      <c r="C50" s="636"/>
      <c r="D50" s="636"/>
      <c r="E50" s="636"/>
      <c r="F50" s="636"/>
      <c r="G50" s="636"/>
      <c r="H50" s="636"/>
      <c r="I50" s="637"/>
      <c r="J50" s="216"/>
      <c r="K50" s="125"/>
    </row>
    <row r="51" spans="1:11" x14ac:dyDescent="0.2">
      <c r="B51" s="618" t="s">
        <v>450</v>
      </c>
      <c r="C51" s="619"/>
      <c r="D51" s="619"/>
      <c r="E51" s="619" t="s">
        <v>451</v>
      </c>
      <c r="F51" s="619"/>
      <c r="G51" s="619"/>
      <c r="H51" s="602" t="s">
        <v>62</v>
      </c>
      <c r="I51" s="641"/>
      <c r="J51" s="216"/>
      <c r="K51" s="125"/>
    </row>
    <row r="52" spans="1:11" ht="13.5" thickBot="1" x14ac:dyDescent="0.25">
      <c r="B52" s="623">
        <v>2</v>
      </c>
      <c r="C52" s="611"/>
      <c r="D52" s="611"/>
      <c r="E52" s="611">
        <f>$I$44</f>
        <v>96</v>
      </c>
      <c r="F52" s="611"/>
      <c r="G52" s="611"/>
      <c r="H52" s="611">
        <f>E52*B52</f>
        <v>192</v>
      </c>
      <c r="I52" s="622"/>
      <c r="J52" s="216"/>
      <c r="K52" s="125"/>
    </row>
    <row r="53" spans="1:11" ht="9" customHeight="1" thickBot="1" x14ac:dyDescent="0.25">
      <c r="F53" s="216"/>
      <c r="G53" s="216"/>
      <c r="H53" s="216"/>
      <c r="J53" s="216"/>
      <c r="K53" s="125"/>
    </row>
    <row r="54" spans="1:11" ht="21.95" customHeight="1" thickBot="1" x14ac:dyDescent="0.25">
      <c r="B54" s="615" t="s">
        <v>389</v>
      </c>
      <c r="C54" s="616"/>
      <c r="D54" s="616"/>
      <c r="E54" s="616"/>
      <c r="F54" s="616"/>
      <c r="G54" s="616"/>
      <c r="H54" s="616"/>
      <c r="I54" s="617"/>
      <c r="K54" s="125"/>
    </row>
    <row r="55" spans="1:11" x14ac:dyDescent="0.2">
      <c r="B55" s="591" t="s">
        <v>26</v>
      </c>
      <c r="C55" s="587"/>
      <c r="D55" s="587"/>
      <c r="E55" s="587" t="s">
        <v>441</v>
      </c>
      <c r="F55" s="587"/>
      <c r="G55" s="587"/>
      <c r="H55" s="587" t="s">
        <v>448</v>
      </c>
      <c r="I55" s="588"/>
      <c r="K55" s="125"/>
    </row>
    <row r="56" spans="1:11" x14ac:dyDescent="0.2">
      <c r="B56" s="603" t="s">
        <v>452</v>
      </c>
      <c r="C56" s="604"/>
      <c r="D56" s="604"/>
      <c r="E56" s="604">
        <v>68.23</v>
      </c>
      <c r="F56" s="604"/>
      <c r="G56" s="604"/>
      <c r="H56" s="607">
        <f>SUM(E56:G57)</f>
        <v>113.83000000000001</v>
      </c>
      <c r="I56" s="608"/>
      <c r="K56" s="125"/>
    </row>
    <row r="57" spans="1:11" ht="13.5" thickBot="1" x14ac:dyDescent="0.25">
      <c r="B57" s="634" t="s">
        <v>390</v>
      </c>
      <c r="C57" s="612"/>
      <c r="D57" s="612"/>
      <c r="E57" s="612">
        <v>45.6</v>
      </c>
      <c r="F57" s="612"/>
      <c r="G57" s="612"/>
      <c r="H57" s="611"/>
      <c r="I57" s="622"/>
      <c r="K57" s="125"/>
    </row>
    <row r="58" spans="1:11" ht="9" customHeight="1" thickBot="1" x14ac:dyDescent="0.25">
      <c r="K58" s="125"/>
    </row>
    <row r="59" spans="1:11" ht="21.95" customHeight="1" thickBot="1" x14ac:dyDescent="0.25">
      <c r="A59" s="645" t="s">
        <v>0</v>
      </c>
      <c r="B59" s="646"/>
      <c r="C59" s="646"/>
      <c r="D59" s="646"/>
      <c r="E59" s="646"/>
      <c r="F59" s="646"/>
      <c r="G59" s="646"/>
      <c r="H59" s="646"/>
      <c r="I59" s="646"/>
      <c r="J59" s="647"/>
      <c r="K59" s="125"/>
    </row>
    <row r="60" spans="1:11" x14ac:dyDescent="0.2">
      <c r="A60" s="236" t="s">
        <v>26</v>
      </c>
      <c r="B60" s="237" t="s">
        <v>94</v>
      </c>
      <c r="C60" s="237" t="s">
        <v>167</v>
      </c>
      <c r="D60" s="237" t="s">
        <v>79</v>
      </c>
      <c r="E60" s="237" t="s">
        <v>162</v>
      </c>
      <c r="F60" s="237" t="s">
        <v>163</v>
      </c>
      <c r="G60" s="237" t="s">
        <v>164</v>
      </c>
      <c r="H60" s="237" t="s">
        <v>165</v>
      </c>
      <c r="I60" s="237" t="s">
        <v>166</v>
      </c>
      <c r="J60" s="238" t="s">
        <v>763</v>
      </c>
      <c r="K60" s="125"/>
    </row>
    <row r="61" spans="1:11" x14ac:dyDescent="0.2">
      <c r="A61" s="241" t="s">
        <v>770</v>
      </c>
      <c r="B61" s="228">
        <v>4.2300000000000004</v>
      </c>
      <c r="C61" s="228">
        <v>0.15</v>
      </c>
      <c r="D61" s="228">
        <v>0.3</v>
      </c>
      <c r="E61" s="227">
        <f>B61*(C61+0.3)*D61*J61</f>
        <v>0.57104999999999995</v>
      </c>
      <c r="F61" s="227">
        <f>B61*(D61*2)*J61</f>
        <v>2.5380000000000003</v>
      </c>
      <c r="G61" s="227">
        <f>B61*(C61*0.05)*J61</f>
        <v>3.1725000000000003E-2</v>
      </c>
      <c r="H61" s="228">
        <f>B61*C61*D61*J61</f>
        <v>0.19035000000000002</v>
      </c>
      <c r="I61" s="227">
        <f t="shared" ref="I61:I68" si="0">E61-H61</f>
        <v>0.38069999999999993</v>
      </c>
      <c r="J61" s="234">
        <v>1</v>
      </c>
      <c r="K61" s="125"/>
    </row>
    <row r="62" spans="1:11" x14ac:dyDescent="0.2">
      <c r="A62" s="241" t="s">
        <v>771</v>
      </c>
      <c r="B62" s="228">
        <v>4.2300000000000004</v>
      </c>
      <c r="C62" s="228">
        <v>0.15</v>
      </c>
      <c r="D62" s="228">
        <v>0.3</v>
      </c>
      <c r="E62" s="227">
        <f t="shared" ref="E62:E68" si="1">B62*(C62+0.3)*D62*J62</f>
        <v>0.57104999999999995</v>
      </c>
      <c r="F62" s="227">
        <f t="shared" ref="F62:F68" si="2">B62*(D62*2)*J62</f>
        <v>2.5380000000000003</v>
      </c>
      <c r="G62" s="227">
        <f t="shared" ref="G62:G68" si="3">B62*(C62*0.05)*J62</f>
        <v>3.1725000000000003E-2</v>
      </c>
      <c r="H62" s="228">
        <f t="shared" ref="H62:H68" si="4">B62*C62*D62*J62</f>
        <v>0.19035000000000002</v>
      </c>
      <c r="I62" s="227">
        <f t="shared" si="0"/>
        <v>0.38069999999999993</v>
      </c>
      <c r="J62" s="234">
        <v>1</v>
      </c>
      <c r="K62" s="125"/>
    </row>
    <row r="63" spans="1:11" x14ac:dyDescent="0.2">
      <c r="A63" s="241" t="s">
        <v>774</v>
      </c>
      <c r="B63" s="228">
        <v>3.91</v>
      </c>
      <c r="C63" s="228">
        <v>0.15</v>
      </c>
      <c r="D63" s="228">
        <v>0.3</v>
      </c>
      <c r="E63" s="227">
        <f t="shared" si="1"/>
        <v>0.52784999999999993</v>
      </c>
      <c r="F63" s="227">
        <f t="shared" si="2"/>
        <v>2.3460000000000001</v>
      </c>
      <c r="G63" s="227">
        <f t="shared" si="3"/>
        <v>2.9325E-2</v>
      </c>
      <c r="H63" s="228">
        <f t="shared" si="4"/>
        <v>0.17595</v>
      </c>
      <c r="I63" s="227">
        <f t="shared" si="0"/>
        <v>0.35189999999999994</v>
      </c>
      <c r="J63" s="234">
        <v>1</v>
      </c>
      <c r="K63" s="125"/>
    </row>
    <row r="64" spans="1:11" x14ac:dyDescent="0.2">
      <c r="A64" s="241" t="s">
        <v>772</v>
      </c>
      <c r="B64" s="228">
        <v>4.2300000000000004</v>
      </c>
      <c r="C64" s="228">
        <v>0.15</v>
      </c>
      <c r="D64" s="228">
        <v>0.3</v>
      </c>
      <c r="E64" s="227">
        <f t="shared" si="1"/>
        <v>0.57104999999999995</v>
      </c>
      <c r="F64" s="227">
        <f t="shared" si="2"/>
        <v>2.5380000000000003</v>
      </c>
      <c r="G64" s="227">
        <f t="shared" si="3"/>
        <v>3.1725000000000003E-2</v>
      </c>
      <c r="H64" s="228">
        <f t="shared" si="4"/>
        <v>0.19035000000000002</v>
      </c>
      <c r="I64" s="227">
        <f t="shared" si="0"/>
        <v>0.38069999999999993</v>
      </c>
      <c r="J64" s="234">
        <v>1</v>
      </c>
      <c r="K64" s="125"/>
    </row>
    <row r="65" spans="1:11" ht="21.95" customHeight="1" x14ac:dyDescent="0.2">
      <c r="A65" s="241" t="s">
        <v>773</v>
      </c>
      <c r="B65" s="228">
        <v>7.4</v>
      </c>
      <c r="C65" s="228">
        <v>0.15</v>
      </c>
      <c r="D65" s="228">
        <v>0.3</v>
      </c>
      <c r="E65" s="227">
        <f t="shared" si="1"/>
        <v>0.99899999999999989</v>
      </c>
      <c r="F65" s="227">
        <f t="shared" si="2"/>
        <v>4.4400000000000004</v>
      </c>
      <c r="G65" s="227">
        <f t="shared" si="3"/>
        <v>5.5500000000000001E-2</v>
      </c>
      <c r="H65" s="228">
        <f t="shared" si="4"/>
        <v>0.33300000000000002</v>
      </c>
      <c r="I65" s="227">
        <f t="shared" si="0"/>
        <v>0.66599999999999993</v>
      </c>
      <c r="J65" s="234">
        <v>1</v>
      </c>
      <c r="K65" s="125"/>
    </row>
    <row r="66" spans="1:11" x14ac:dyDescent="0.2">
      <c r="A66" s="241" t="s">
        <v>775</v>
      </c>
      <c r="B66" s="228">
        <v>3.91</v>
      </c>
      <c r="C66" s="228">
        <v>0.15</v>
      </c>
      <c r="D66" s="228">
        <v>0.3</v>
      </c>
      <c r="E66" s="227">
        <f t="shared" si="1"/>
        <v>0.52784999999999993</v>
      </c>
      <c r="F66" s="227">
        <f t="shared" si="2"/>
        <v>2.3460000000000001</v>
      </c>
      <c r="G66" s="227">
        <f t="shared" si="3"/>
        <v>2.9325E-2</v>
      </c>
      <c r="H66" s="228">
        <f t="shared" si="4"/>
        <v>0.17595</v>
      </c>
      <c r="I66" s="227">
        <f t="shared" si="0"/>
        <v>0.35189999999999994</v>
      </c>
      <c r="J66" s="234">
        <v>1</v>
      </c>
      <c r="K66" s="125"/>
    </row>
    <row r="67" spans="1:11" x14ac:dyDescent="0.2">
      <c r="A67" s="241" t="s">
        <v>776</v>
      </c>
      <c r="B67" s="228">
        <v>3.91</v>
      </c>
      <c r="C67" s="228">
        <v>0.15</v>
      </c>
      <c r="D67" s="228">
        <v>0.3</v>
      </c>
      <c r="E67" s="227">
        <f t="shared" si="1"/>
        <v>0.52784999999999993</v>
      </c>
      <c r="F67" s="227">
        <f t="shared" si="2"/>
        <v>2.3460000000000001</v>
      </c>
      <c r="G67" s="227">
        <f t="shared" si="3"/>
        <v>2.9325E-2</v>
      </c>
      <c r="H67" s="228">
        <f t="shared" si="4"/>
        <v>0.17595</v>
      </c>
      <c r="I67" s="227">
        <f t="shared" si="0"/>
        <v>0.35189999999999994</v>
      </c>
      <c r="J67" s="234">
        <v>1</v>
      </c>
      <c r="K67" s="125"/>
    </row>
    <row r="68" spans="1:11" ht="24" customHeight="1" x14ac:dyDescent="0.2">
      <c r="A68" s="241" t="s">
        <v>168</v>
      </c>
      <c r="B68" s="228">
        <v>0.4</v>
      </c>
      <c r="C68" s="228">
        <v>0.4</v>
      </c>
      <c r="D68" s="228">
        <v>0.4</v>
      </c>
      <c r="E68" s="227">
        <f t="shared" si="1"/>
        <v>0.89599999999999991</v>
      </c>
      <c r="F68" s="227">
        <f t="shared" si="2"/>
        <v>2.5600000000000005</v>
      </c>
      <c r="G68" s="227">
        <f t="shared" si="3"/>
        <v>6.4000000000000015E-2</v>
      </c>
      <c r="H68" s="228">
        <f t="shared" si="4"/>
        <v>0.51200000000000012</v>
      </c>
      <c r="I68" s="227">
        <f t="shared" si="0"/>
        <v>0.38399999999999979</v>
      </c>
      <c r="J68" s="234">
        <v>8</v>
      </c>
      <c r="K68" s="125"/>
    </row>
    <row r="69" spans="1:11" ht="13.5" thickBot="1" x14ac:dyDescent="0.25">
      <c r="A69" s="648" t="s">
        <v>61</v>
      </c>
      <c r="B69" s="649"/>
      <c r="C69" s="649"/>
      <c r="D69" s="650"/>
      <c r="E69" s="269">
        <f t="shared" ref="E69:J69" si="5">SUM(E61:E68)</f>
        <v>5.1916999999999991</v>
      </c>
      <c r="F69" s="269">
        <f t="shared" si="5"/>
        <v>21.652000000000001</v>
      </c>
      <c r="G69" s="269">
        <f t="shared" si="5"/>
        <v>0.30265000000000003</v>
      </c>
      <c r="H69" s="269">
        <f t="shared" si="5"/>
        <v>1.9439000000000002</v>
      </c>
      <c r="I69" s="269">
        <f t="shared" si="5"/>
        <v>3.2477999999999998</v>
      </c>
      <c r="J69" s="212">
        <f t="shared" si="5"/>
        <v>15</v>
      </c>
      <c r="K69" s="125"/>
    </row>
    <row r="70" spans="1:11" ht="9" customHeight="1" thickBot="1" x14ac:dyDescent="0.25">
      <c r="K70" s="125"/>
    </row>
    <row r="71" spans="1:11" ht="21.95" customHeight="1" thickBot="1" x14ac:dyDescent="0.25">
      <c r="B71" s="629" t="s">
        <v>453</v>
      </c>
      <c r="C71" s="630"/>
      <c r="D71" s="630"/>
      <c r="E71" s="630"/>
      <c r="F71" s="630"/>
      <c r="G71" s="630"/>
      <c r="H71" s="630"/>
      <c r="I71" s="631"/>
      <c r="K71" s="125"/>
    </row>
    <row r="72" spans="1:11" x14ac:dyDescent="0.2">
      <c r="B72" s="618" t="s">
        <v>26</v>
      </c>
      <c r="C72" s="619"/>
      <c r="D72" s="619" t="s">
        <v>441</v>
      </c>
      <c r="E72" s="619"/>
      <c r="F72" s="619" t="s">
        <v>432</v>
      </c>
      <c r="G72" s="619"/>
      <c r="H72" s="619" t="s">
        <v>433</v>
      </c>
      <c r="I72" s="627"/>
      <c r="K72" s="125"/>
    </row>
    <row r="73" spans="1:11" x14ac:dyDescent="0.2">
      <c r="B73" s="592" t="s">
        <v>151</v>
      </c>
      <c r="C73" s="589"/>
      <c r="D73" s="632">
        <v>4.4800000000000004</v>
      </c>
      <c r="E73" s="632"/>
      <c r="F73" s="632">
        <v>3</v>
      </c>
      <c r="G73" s="632"/>
      <c r="H73" s="607">
        <f>D73*F73</f>
        <v>13.440000000000001</v>
      </c>
      <c r="I73" s="608"/>
      <c r="K73" s="125"/>
    </row>
    <row r="74" spans="1:11" x14ac:dyDescent="0.2">
      <c r="B74" s="651" t="s">
        <v>612</v>
      </c>
      <c r="C74" s="652"/>
      <c r="D74" s="653">
        <v>3.02</v>
      </c>
      <c r="E74" s="654"/>
      <c r="F74" s="653">
        <v>3</v>
      </c>
      <c r="G74" s="654"/>
      <c r="H74" s="655">
        <f>D74*F74</f>
        <v>9.06</v>
      </c>
      <c r="I74" s="656"/>
      <c r="K74" s="125"/>
    </row>
    <row r="75" spans="1:11" x14ac:dyDescent="0.2">
      <c r="B75" s="651" t="s">
        <v>614</v>
      </c>
      <c r="C75" s="652"/>
      <c r="D75" s="653">
        <v>7.65</v>
      </c>
      <c r="E75" s="654"/>
      <c r="F75" s="653">
        <v>2.83</v>
      </c>
      <c r="G75" s="654"/>
      <c r="H75" s="655">
        <f>D75*F75</f>
        <v>21.649500000000003</v>
      </c>
      <c r="I75" s="656"/>
      <c r="K75" s="125"/>
    </row>
    <row r="76" spans="1:11" ht="13.5" thickBot="1" x14ac:dyDescent="0.25">
      <c r="B76" s="644" t="s">
        <v>61</v>
      </c>
      <c r="C76" s="621"/>
      <c r="D76" s="621"/>
      <c r="E76" s="621"/>
      <c r="F76" s="621"/>
      <c r="G76" s="621"/>
      <c r="H76" s="611">
        <f>SUM(H73:I75)</f>
        <v>44.149500000000003</v>
      </c>
      <c r="I76" s="622"/>
      <c r="K76" s="125"/>
    </row>
    <row r="77" spans="1:11" ht="9" customHeight="1" thickBot="1" x14ac:dyDescent="0.25">
      <c r="K77" s="125"/>
    </row>
    <row r="78" spans="1:11" ht="21.95" customHeight="1" thickBot="1" x14ac:dyDescent="0.25">
      <c r="B78" s="615" t="s">
        <v>613</v>
      </c>
      <c r="C78" s="616"/>
      <c r="D78" s="616"/>
      <c r="E78" s="616"/>
      <c r="F78" s="616"/>
      <c r="G78" s="616"/>
      <c r="H78" s="616"/>
      <c r="I78" s="617"/>
      <c r="K78" s="125"/>
    </row>
    <row r="79" spans="1:11" x14ac:dyDescent="0.2">
      <c r="B79" s="657" t="s">
        <v>454</v>
      </c>
      <c r="C79" s="658"/>
      <c r="D79" s="585" t="s">
        <v>441</v>
      </c>
      <c r="E79" s="658"/>
      <c r="F79" s="585" t="s">
        <v>432</v>
      </c>
      <c r="G79" s="658"/>
      <c r="H79" s="585" t="s">
        <v>433</v>
      </c>
      <c r="I79" s="586"/>
      <c r="K79" s="125"/>
    </row>
    <row r="80" spans="1:11" x14ac:dyDescent="0.2">
      <c r="B80" s="659" t="s">
        <v>609</v>
      </c>
      <c r="C80" s="660"/>
      <c r="D80" s="655">
        <v>2.5</v>
      </c>
      <c r="E80" s="661"/>
      <c r="F80" s="655">
        <v>1.3</v>
      </c>
      <c r="G80" s="661"/>
      <c r="H80" s="655">
        <f>D80*F80</f>
        <v>3.25</v>
      </c>
      <c r="I80" s="656"/>
      <c r="K80" s="125"/>
    </row>
    <row r="81" spans="2:32" x14ac:dyDescent="0.2">
      <c r="B81" s="659" t="s">
        <v>610</v>
      </c>
      <c r="C81" s="660"/>
      <c r="D81" s="655">
        <v>2.5</v>
      </c>
      <c r="E81" s="661"/>
      <c r="F81" s="655">
        <v>1.3</v>
      </c>
      <c r="G81" s="661"/>
      <c r="H81" s="655">
        <f>D81*F81</f>
        <v>3.25</v>
      </c>
      <c r="I81" s="656"/>
      <c r="K81" s="125"/>
    </row>
    <row r="82" spans="2:32" x14ac:dyDescent="0.2">
      <c r="B82" s="603" t="s">
        <v>611</v>
      </c>
      <c r="C82" s="604"/>
      <c r="D82" s="607">
        <v>2.5</v>
      </c>
      <c r="E82" s="607"/>
      <c r="F82" s="607">
        <v>2.5</v>
      </c>
      <c r="G82" s="607"/>
      <c r="H82" s="655">
        <f t="shared" ref="H82:H83" si="6">D82*F82</f>
        <v>6.25</v>
      </c>
      <c r="I82" s="656"/>
      <c r="K82" s="125"/>
    </row>
    <row r="83" spans="2:32" x14ac:dyDescent="0.2">
      <c r="B83" s="603" t="s">
        <v>7</v>
      </c>
      <c r="C83" s="604"/>
      <c r="D83" s="607">
        <v>2.5</v>
      </c>
      <c r="E83" s="607"/>
      <c r="F83" s="607">
        <v>2.5</v>
      </c>
      <c r="G83" s="607"/>
      <c r="H83" s="655">
        <f t="shared" si="6"/>
        <v>6.25</v>
      </c>
      <c r="I83" s="656"/>
      <c r="K83" s="125"/>
    </row>
    <row r="84" spans="2:32" ht="13.5" thickBot="1" x14ac:dyDescent="0.25">
      <c r="B84" s="634" t="s">
        <v>61</v>
      </c>
      <c r="C84" s="612"/>
      <c r="D84" s="612"/>
      <c r="E84" s="612"/>
      <c r="F84" s="612"/>
      <c r="G84" s="611">
        <f>SUM(H80:I83)</f>
        <v>19</v>
      </c>
      <c r="H84" s="611"/>
      <c r="I84" s="622"/>
      <c r="K84" s="125"/>
    </row>
    <row r="85" spans="2:32" ht="9" customHeight="1" thickBot="1" x14ac:dyDescent="0.25">
      <c r="K85" s="125"/>
    </row>
    <row r="86" spans="2:32" ht="21.95" customHeight="1" thickBot="1" x14ac:dyDescent="0.25">
      <c r="B86" s="615" t="s">
        <v>455</v>
      </c>
      <c r="C86" s="616"/>
      <c r="D86" s="616"/>
      <c r="E86" s="616"/>
      <c r="F86" s="616"/>
      <c r="G86" s="616"/>
      <c r="H86" s="616"/>
      <c r="I86" s="617"/>
      <c r="K86" s="125"/>
    </row>
    <row r="87" spans="2:32" x14ac:dyDescent="0.2">
      <c r="B87" s="225" t="s">
        <v>26</v>
      </c>
      <c r="C87" s="619" t="s">
        <v>441</v>
      </c>
      <c r="D87" s="619"/>
      <c r="E87" s="619" t="s">
        <v>432</v>
      </c>
      <c r="F87" s="619"/>
      <c r="G87" s="619"/>
      <c r="H87" s="619" t="s">
        <v>433</v>
      </c>
      <c r="I87" s="627"/>
      <c r="K87" s="125"/>
    </row>
    <row r="88" spans="2:32" x14ac:dyDescent="0.2">
      <c r="B88" s="232"/>
      <c r="C88" s="589">
        <v>8.35</v>
      </c>
      <c r="D88" s="589"/>
      <c r="E88" s="632">
        <v>2.8</v>
      </c>
      <c r="F88" s="632"/>
      <c r="G88" s="632"/>
      <c r="H88" s="607">
        <f>C88*E88</f>
        <v>23.38</v>
      </c>
      <c r="I88" s="608"/>
      <c r="K88" s="125"/>
    </row>
    <row r="89" spans="2:32" ht="13.5" thickBot="1" x14ac:dyDescent="0.25">
      <c r="B89" s="644" t="s">
        <v>61</v>
      </c>
      <c r="C89" s="621"/>
      <c r="D89" s="621"/>
      <c r="E89" s="621"/>
      <c r="F89" s="621"/>
      <c r="G89" s="621"/>
      <c r="H89" s="611">
        <f>H88</f>
        <v>23.38</v>
      </c>
      <c r="I89" s="613"/>
      <c r="K89" s="125"/>
    </row>
    <row r="90" spans="2:32" ht="9" customHeight="1" thickBot="1" x14ac:dyDescent="0.25">
      <c r="K90" s="125"/>
    </row>
    <row r="91" spans="2:32" ht="21.95" customHeight="1" thickBot="1" x14ac:dyDescent="0.25">
      <c r="B91" s="615" t="s">
        <v>171</v>
      </c>
      <c r="C91" s="616"/>
      <c r="D91" s="616"/>
      <c r="E91" s="616"/>
      <c r="F91" s="616"/>
      <c r="G91" s="616"/>
      <c r="H91" s="616"/>
      <c r="I91" s="617"/>
      <c r="K91" s="125"/>
    </row>
    <row r="92" spans="2:32" s="270" customFormat="1" ht="24" customHeight="1" x14ac:dyDescent="0.2">
      <c r="B92" s="664" t="s">
        <v>26</v>
      </c>
      <c r="C92" s="662"/>
      <c r="D92" s="662" t="s">
        <v>460</v>
      </c>
      <c r="E92" s="662"/>
      <c r="F92" s="662" t="s">
        <v>441</v>
      </c>
      <c r="G92" s="662"/>
      <c r="H92" s="662" t="s">
        <v>448</v>
      </c>
      <c r="I92" s="663"/>
      <c r="K92" s="127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2:32" s="270" customFormat="1" ht="24" customHeight="1" x14ac:dyDescent="0.2">
      <c r="B93" s="672" t="s">
        <v>456</v>
      </c>
      <c r="C93" s="673"/>
      <c r="D93" s="673" t="s">
        <v>461</v>
      </c>
      <c r="E93" s="673"/>
      <c r="F93" s="674">
        <v>23.82</v>
      </c>
      <c r="G93" s="674"/>
      <c r="H93" s="665">
        <f>F93+F94</f>
        <v>75.25</v>
      </c>
      <c r="I93" s="666"/>
      <c r="K93" s="127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2:32" s="270" customFormat="1" ht="24" customHeight="1" x14ac:dyDescent="0.2">
      <c r="B94" s="672" t="s">
        <v>457</v>
      </c>
      <c r="C94" s="673"/>
      <c r="D94" s="673" t="s">
        <v>495</v>
      </c>
      <c r="E94" s="673"/>
      <c r="F94" s="674">
        <v>51.43</v>
      </c>
      <c r="G94" s="674"/>
      <c r="H94" s="667"/>
      <c r="I94" s="668"/>
      <c r="K94" s="127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2:32" s="270" customFormat="1" ht="24" customHeight="1" x14ac:dyDescent="0.2">
      <c r="B95" s="672" t="s">
        <v>458</v>
      </c>
      <c r="C95" s="673"/>
      <c r="D95" s="673" t="s">
        <v>765</v>
      </c>
      <c r="E95" s="673"/>
      <c r="F95" s="674">
        <v>32.5</v>
      </c>
      <c r="G95" s="674"/>
      <c r="H95" s="665">
        <f>F95+F96</f>
        <v>58</v>
      </c>
      <c r="I95" s="666"/>
      <c r="K95" s="127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2:32" s="270" customFormat="1" ht="24" customHeight="1" thickBot="1" x14ac:dyDescent="0.25">
      <c r="B96" s="679" t="s">
        <v>459</v>
      </c>
      <c r="C96" s="675"/>
      <c r="D96" s="675" t="s">
        <v>765</v>
      </c>
      <c r="E96" s="675"/>
      <c r="F96" s="678">
        <v>25.5</v>
      </c>
      <c r="G96" s="678"/>
      <c r="H96" s="676"/>
      <c r="I96" s="677"/>
      <c r="K96" s="127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11" ht="9" customHeight="1" thickBot="1" x14ac:dyDescent="0.25">
      <c r="K97" s="125"/>
    </row>
    <row r="98" spans="1:11" ht="21.95" customHeight="1" thickBot="1" x14ac:dyDescent="0.25">
      <c r="B98" s="669" t="s">
        <v>462</v>
      </c>
      <c r="C98" s="670"/>
      <c r="D98" s="670"/>
      <c r="E98" s="670"/>
      <c r="F98" s="670"/>
      <c r="G98" s="670"/>
      <c r="H98" s="670"/>
      <c r="I98" s="671"/>
      <c r="K98" s="125"/>
    </row>
    <row r="99" spans="1:11" ht="24" customHeight="1" x14ac:dyDescent="0.2">
      <c r="B99" s="618" t="s">
        <v>463</v>
      </c>
      <c r="C99" s="619"/>
      <c r="D99" s="619" t="s">
        <v>473</v>
      </c>
      <c r="E99" s="619"/>
      <c r="F99" s="619" t="s">
        <v>441</v>
      </c>
      <c r="G99" s="619"/>
      <c r="H99" s="619" t="s">
        <v>448</v>
      </c>
      <c r="I99" s="627"/>
      <c r="K99" s="125"/>
    </row>
    <row r="100" spans="1:11" ht="24" customHeight="1" x14ac:dyDescent="0.2">
      <c r="B100" s="592" t="s">
        <v>465</v>
      </c>
      <c r="C100" s="589"/>
      <c r="D100" s="673" t="s">
        <v>466</v>
      </c>
      <c r="E100" s="673"/>
      <c r="F100" s="607">
        <f>F93</f>
        <v>23.82</v>
      </c>
      <c r="G100" s="607"/>
      <c r="H100" s="607">
        <f>F100+F101</f>
        <v>75.25</v>
      </c>
      <c r="I100" s="608"/>
      <c r="K100" s="125"/>
    </row>
    <row r="101" spans="1:11" ht="24" customHeight="1" x14ac:dyDescent="0.2">
      <c r="B101" s="592" t="s">
        <v>468</v>
      </c>
      <c r="C101" s="589"/>
      <c r="D101" s="673" t="s">
        <v>466</v>
      </c>
      <c r="E101" s="673"/>
      <c r="F101" s="607">
        <f>F94</f>
        <v>51.43</v>
      </c>
      <c r="G101" s="607"/>
      <c r="H101" s="607"/>
      <c r="I101" s="608"/>
      <c r="K101" s="125"/>
    </row>
    <row r="102" spans="1:11" ht="24" customHeight="1" x14ac:dyDescent="0.2">
      <c r="B102" s="592" t="s">
        <v>467</v>
      </c>
      <c r="C102" s="589"/>
      <c r="D102" s="673" t="s">
        <v>471</v>
      </c>
      <c r="E102" s="673"/>
      <c r="F102" s="607">
        <v>76.8</v>
      </c>
      <c r="G102" s="607"/>
      <c r="H102" s="607">
        <f>SUM(F102:G104)</f>
        <v>173.5</v>
      </c>
      <c r="I102" s="608"/>
      <c r="K102" s="125"/>
    </row>
    <row r="103" spans="1:11" ht="24" customHeight="1" x14ac:dyDescent="0.2">
      <c r="B103" s="592" t="s">
        <v>469</v>
      </c>
      <c r="C103" s="589"/>
      <c r="D103" s="673" t="s">
        <v>471</v>
      </c>
      <c r="E103" s="673"/>
      <c r="F103" s="607">
        <v>65.2</v>
      </c>
      <c r="G103" s="607"/>
      <c r="H103" s="607"/>
      <c r="I103" s="608"/>
      <c r="K103" s="125"/>
    </row>
    <row r="104" spans="1:11" ht="24" customHeight="1" x14ac:dyDescent="0.2">
      <c r="B104" s="592" t="s">
        <v>474</v>
      </c>
      <c r="C104" s="589"/>
      <c r="D104" s="673" t="s">
        <v>471</v>
      </c>
      <c r="E104" s="673"/>
      <c r="F104" s="607">
        <v>31.5</v>
      </c>
      <c r="G104" s="607"/>
      <c r="H104" s="607"/>
      <c r="I104" s="608"/>
      <c r="K104" s="125"/>
    </row>
    <row r="105" spans="1:11" ht="24" customHeight="1" thickBot="1" x14ac:dyDescent="0.25">
      <c r="B105" s="644" t="s">
        <v>470</v>
      </c>
      <c r="C105" s="621"/>
      <c r="D105" s="675" t="s">
        <v>472</v>
      </c>
      <c r="E105" s="675"/>
      <c r="F105" s="611">
        <v>17</v>
      </c>
      <c r="G105" s="611"/>
      <c r="H105" s="611">
        <f>F105</f>
        <v>17</v>
      </c>
      <c r="I105" s="622"/>
      <c r="K105" s="125"/>
    </row>
    <row r="106" spans="1:11" ht="9" customHeight="1" thickBot="1" x14ac:dyDescent="0.25">
      <c r="A106" s="214"/>
      <c r="B106" s="214"/>
      <c r="C106" s="217"/>
      <c r="D106" s="217"/>
      <c r="E106" s="214"/>
      <c r="F106" s="214"/>
      <c r="G106" s="214"/>
      <c r="H106" s="214"/>
      <c r="K106" s="125"/>
    </row>
    <row r="107" spans="1:11" ht="21.95" customHeight="1" thickBot="1" x14ac:dyDescent="0.25">
      <c r="B107" s="615" t="s">
        <v>490</v>
      </c>
      <c r="C107" s="616"/>
      <c r="D107" s="616"/>
      <c r="E107" s="616"/>
      <c r="F107" s="616"/>
      <c r="G107" s="616"/>
      <c r="H107" s="616"/>
      <c r="I107" s="617"/>
      <c r="K107" s="125"/>
    </row>
    <row r="108" spans="1:11" ht="24" customHeight="1" x14ac:dyDescent="0.2">
      <c r="B108" s="618" t="s">
        <v>26</v>
      </c>
      <c r="C108" s="619"/>
      <c r="D108" s="619" t="s">
        <v>460</v>
      </c>
      <c r="E108" s="619"/>
      <c r="F108" s="619" t="s">
        <v>441</v>
      </c>
      <c r="G108" s="619"/>
      <c r="H108" s="619" t="s">
        <v>448</v>
      </c>
      <c r="I108" s="627"/>
      <c r="K108" s="125"/>
    </row>
    <row r="109" spans="1:11" ht="24" customHeight="1" x14ac:dyDescent="0.2">
      <c r="B109" s="592" t="s">
        <v>425</v>
      </c>
      <c r="C109" s="589"/>
      <c r="D109" s="673" t="s">
        <v>492</v>
      </c>
      <c r="E109" s="673"/>
      <c r="F109" s="607">
        <v>20</v>
      </c>
      <c r="G109" s="607"/>
      <c r="H109" s="607">
        <f>F109+F110</f>
        <v>40</v>
      </c>
      <c r="I109" s="608"/>
      <c r="K109" s="125"/>
    </row>
    <row r="110" spans="1:11" ht="24" customHeight="1" x14ac:dyDescent="0.2">
      <c r="B110" s="672" t="s">
        <v>491</v>
      </c>
      <c r="C110" s="673"/>
      <c r="D110" s="673" t="s">
        <v>492</v>
      </c>
      <c r="E110" s="673"/>
      <c r="F110" s="607">
        <v>20</v>
      </c>
      <c r="G110" s="607"/>
      <c r="H110" s="607"/>
      <c r="I110" s="608"/>
      <c r="K110" s="125"/>
    </row>
    <row r="111" spans="1:11" ht="24" customHeight="1" thickBot="1" x14ac:dyDescent="0.25">
      <c r="B111" s="680" t="s">
        <v>493</v>
      </c>
      <c r="C111" s="681"/>
      <c r="D111" s="675" t="s">
        <v>494</v>
      </c>
      <c r="E111" s="675"/>
      <c r="F111" s="611">
        <v>42</v>
      </c>
      <c r="G111" s="611"/>
      <c r="H111" s="611">
        <f>F111</f>
        <v>42</v>
      </c>
      <c r="I111" s="622"/>
      <c r="K111" s="125"/>
    </row>
    <row r="112" spans="1:11" ht="9" customHeight="1" thickBot="1" x14ac:dyDescent="0.25">
      <c r="A112" s="214"/>
      <c r="B112" s="214"/>
      <c r="C112" s="217"/>
      <c r="D112" s="217"/>
      <c r="E112" s="214"/>
      <c r="F112" s="214"/>
      <c r="G112" s="214"/>
      <c r="H112" s="214"/>
      <c r="K112" s="125"/>
    </row>
    <row r="113" spans="2:11" ht="21.95" customHeight="1" thickBot="1" x14ac:dyDescent="0.25">
      <c r="B113" s="669" t="s">
        <v>9</v>
      </c>
      <c r="C113" s="670"/>
      <c r="D113" s="670"/>
      <c r="E113" s="670"/>
      <c r="F113" s="670"/>
      <c r="G113" s="670"/>
      <c r="H113" s="670"/>
      <c r="I113" s="671"/>
      <c r="K113" s="125"/>
    </row>
    <row r="114" spans="2:11" x14ac:dyDescent="0.2">
      <c r="B114" s="618" t="s">
        <v>26</v>
      </c>
      <c r="C114" s="619"/>
      <c r="D114" s="619" t="s">
        <v>441</v>
      </c>
      <c r="E114" s="619"/>
      <c r="F114" s="619" t="s">
        <v>475</v>
      </c>
      <c r="G114" s="619"/>
      <c r="H114" s="619" t="s">
        <v>440</v>
      </c>
      <c r="I114" s="627"/>
      <c r="K114" s="125"/>
    </row>
    <row r="115" spans="2:11" x14ac:dyDescent="0.2">
      <c r="B115" s="592" t="s">
        <v>778</v>
      </c>
      <c r="C115" s="589"/>
      <c r="D115" s="632">
        <v>3.91</v>
      </c>
      <c r="E115" s="632"/>
      <c r="F115" s="632">
        <v>2.8</v>
      </c>
      <c r="G115" s="632"/>
      <c r="H115" s="607">
        <f>F115*D115</f>
        <v>10.948</v>
      </c>
      <c r="I115" s="608"/>
      <c r="K115" s="125"/>
    </row>
    <row r="116" spans="2:11" x14ac:dyDescent="0.2">
      <c r="B116" s="592" t="s">
        <v>779</v>
      </c>
      <c r="C116" s="589"/>
      <c r="D116" s="632">
        <v>3.91</v>
      </c>
      <c r="E116" s="632"/>
      <c r="F116" s="632">
        <v>2.8</v>
      </c>
      <c r="G116" s="632"/>
      <c r="H116" s="607">
        <f>F116*D116</f>
        <v>10.948</v>
      </c>
      <c r="I116" s="608"/>
      <c r="K116" s="125"/>
    </row>
    <row r="117" spans="2:11" x14ac:dyDescent="0.2">
      <c r="B117" s="592" t="s">
        <v>780</v>
      </c>
      <c r="C117" s="589"/>
      <c r="D117" s="632">
        <v>3.91</v>
      </c>
      <c r="E117" s="632"/>
      <c r="F117" s="632">
        <v>2.8</v>
      </c>
      <c r="G117" s="632"/>
      <c r="H117" s="607">
        <f>F117*D117</f>
        <v>10.948</v>
      </c>
      <c r="I117" s="608"/>
      <c r="K117" s="125"/>
    </row>
    <row r="118" spans="2:11" x14ac:dyDescent="0.2">
      <c r="B118" s="592" t="s">
        <v>7</v>
      </c>
      <c r="C118" s="589"/>
      <c r="D118" s="632">
        <v>7.9</v>
      </c>
      <c r="E118" s="632"/>
      <c r="F118" s="632">
        <v>2.8</v>
      </c>
      <c r="G118" s="632"/>
      <c r="H118" s="607">
        <f>F118*D118</f>
        <v>22.12</v>
      </c>
      <c r="I118" s="608"/>
      <c r="K118" s="125"/>
    </row>
    <row r="119" spans="2:11" x14ac:dyDescent="0.2">
      <c r="B119" s="592" t="s">
        <v>611</v>
      </c>
      <c r="C119" s="589"/>
      <c r="D119" s="632">
        <v>7.9</v>
      </c>
      <c r="E119" s="632"/>
      <c r="F119" s="632">
        <v>2.8</v>
      </c>
      <c r="G119" s="632"/>
      <c r="H119" s="607">
        <f>F119*D119</f>
        <v>22.12</v>
      </c>
      <c r="I119" s="608"/>
      <c r="K119" s="125"/>
    </row>
    <row r="120" spans="2:11" x14ac:dyDescent="0.2">
      <c r="B120" s="592" t="s">
        <v>612</v>
      </c>
      <c r="C120" s="589"/>
      <c r="D120" s="632">
        <v>3.17</v>
      </c>
      <c r="E120" s="632"/>
      <c r="F120" s="632">
        <v>2.8</v>
      </c>
      <c r="G120" s="632"/>
      <c r="H120" s="607">
        <f t="shared" ref="H120:H121" si="7">F120*D120</f>
        <v>8.8759999999999994</v>
      </c>
      <c r="I120" s="608"/>
      <c r="K120" s="125"/>
    </row>
    <row r="121" spans="2:11" x14ac:dyDescent="0.2">
      <c r="B121" s="592" t="s">
        <v>777</v>
      </c>
      <c r="C121" s="589"/>
      <c r="D121" s="632">
        <v>5</v>
      </c>
      <c r="E121" s="632"/>
      <c r="F121" s="632">
        <v>2.8</v>
      </c>
      <c r="G121" s="632"/>
      <c r="H121" s="607">
        <f t="shared" si="7"/>
        <v>14</v>
      </c>
      <c r="I121" s="608"/>
      <c r="K121" s="125"/>
    </row>
    <row r="122" spans="2:11" ht="13.5" thickBot="1" x14ac:dyDescent="0.25">
      <c r="B122" s="644" t="s">
        <v>61</v>
      </c>
      <c r="C122" s="621"/>
      <c r="D122" s="621"/>
      <c r="E122" s="621"/>
      <c r="F122" s="621"/>
      <c r="G122" s="621"/>
      <c r="H122" s="611">
        <f>SUM(H115:I121)</f>
        <v>99.960000000000008</v>
      </c>
      <c r="I122" s="622"/>
      <c r="K122" s="125"/>
    </row>
    <row r="123" spans="2:11" ht="9" customHeight="1" thickBot="1" x14ac:dyDescent="0.25">
      <c r="K123" s="125"/>
    </row>
    <row r="124" spans="2:11" ht="21.95" customHeight="1" thickBot="1" x14ac:dyDescent="0.25">
      <c r="B124" s="615" t="s">
        <v>99</v>
      </c>
      <c r="C124" s="616"/>
      <c r="D124" s="616"/>
      <c r="E124" s="616"/>
      <c r="F124" s="616"/>
      <c r="G124" s="616"/>
      <c r="H124" s="616"/>
      <c r="I124" s="617"/>
      <c r="K124" s="125"/>
    </row>
    <row r="125" spans="2:11" x14ac:dyDescent="0.2">
      <c r="B125" s="591" t="s">
        <v>26</v>
      </c>
      <c r="C125" s="587"/>
      <c r="D125" s="587" t="s">
        <v>441</v>
      </c>
      <c r="E125" s="587"/>
      <c r="F125" s="587" t="s">
        <v>475</v>
      </c>
      <c r="G125" s="587"/>
      <c r="H125" s="587" t="s">
        <v>440</v>
      </c>
      <c r="I125" s="588"/>
      <c r="K125" s="125"/>
    </row>
    <row r="126" spans="2:11" x14ac:dyDescent="0.2">
      <c r="B126" s="651" t="s">
        <v>610</v>
      </c>
      <c r="C126" s="652"/>
      <c r="D126" s="632">
        <v>4.5999999999999996</v>
      </c>
      <c r="E126" s="632"/>
      <c r="F126" s="632">
        <v>2.4</v>
      </c>
      <c r="G126" s="632"/>
      <c r="H126" s="607">
        <f>D126*F126</f>
        <v>11.04</v>
      </c>
      <c r="I126" s="608"/>
      <c r="K126" s="125"/>
    </row>
    <row r="127" spans="2:11" x14ac:dyDescent="0.2">
      <c r="B127" s="651" t="s">
        <v>609</v>
      </c>
      <c r="C127" s="652"/>
      <c r="D127" s="632">
        <v>4.5999999999999996</v>
      </c>
      <c r="E127" s="632"/>
      <c r="F127" s="632">
        <v>2.4</v>
      </c>
      <c r="G127" s="632"/>
      <c r="H127" s="607">
        <f>D127*F127</f>
        <v>11.04</v>
      </c>
      <c r="I127" s="608"/>
      <c r="K127" s="125"/>
    </row>
    <row r="128" spans="2:11" ht="13.5" thickBot="1" x14ac:dyDescent="0.25">
      <c r="B128" s="644" t="s">
        <v>61</v>
      </c>
      <c r="C128" s="621"/>
      <c r="D128" s="621"/>
      <c r="E128" s="621"/>
      <c r="F128" s="621"/>
      <c r="G128" s="621"/>
      <c r="H128" s="611">
        <f>SUM(H126:I127)</f>
        <v>22.08</v>
      </c>
      <c r="I128" s="613"/>
      <c r="K128" s="125"/>
    </row>
    <row r="129" spans="2:32" customFormat="1" ht="9" hidden="1" customHeight="1" x14ac:dyDescent="0.2"/>
    <row r="130" spans="2:32" customFormat="1" ht="21.95" hidden="1" customHeight="1" x14ac:dyDescent="0.2"/>
    <row r="131" spans="2:32" customFormat="1" hidden="1" x14ac:dyDescent="0.2"/>
    <row r="132" spans="2:32" customFormat="1" hidden="1" x14ac:dyDescent="0.2"/>
    <row r="133" spans="2:32" customFormat="1" hidden="1" x14ac:dyDescent="0.2"/>
    <row r="134" spans="2:32" customFormat="1" hidden="1" x14ac:dyDescent="0.2"/>
    <row r="135" spans="2:32" ht="9" hidden="1" customHeight="1" x14ac:dyDescent="0.2">
      <c r="H135" s="216"/>
      <c r="I135" s="216"/>
      <c r="J135" s="218" t="s">
        <v>153</v>
      </c>
      <c r="K135" s="125"/>
    </row>
    <row r="136" spans="2:32" customFormat="1" ht="21.95" hidden="1" customHeight="1" x14ac:dyDescent="0.2"/>
    <row r="137" spans="2:32" customFormat="1" hidden="1" x14ac:dyDescent="0.2"/>
    <row r="138" spans="2:32" customFormat="1" ht="27.75" hidden="1" customHeight="1" x14ac:dyDescent="0.2"/>
    <row r="139" spans="2:32" customFormat="1" ht="41.25" hidden="1" customHeight="1" x14ac:dyDescent="0.2"/>
    <row r="140" spans="2:32" customFormat="1" hidden="1" x14ac:dyDescent="0.2"/>
    <row r="141" spans="2:32" ht="9" customHeight="1" thickBot="1" x14ac:dyDescent="0.25">
      <c r="K141" s="125"/>
    </row>
    <row r="142" spans="2:32" ht="21.95" customHeight="1" thickBot="1" x14ac:dyDescent="0.25">
      <c r="B142" s="615" t="s">
        <v>476</v>
      </c>
      <c r="C142" s="616"/>
      <c r="D142" s="616"/>
      <c r="E142" s="616"/>
      <c r="F142" s="616"/>
      <c r="G142" s="616"/>
      <c r="H142" s="616"/>
      <c r="I142" s="617"/>
      <c r="K142" s="125"/>
    </row>
    <row r="143" spans="2:32" s="219" customFormat="1" x14ac:dyDescent="0.2">
      <c r="B143" s="591" t="s">
        <v>26</v>
      </c>
      <c r="C143" s="587"/>
      <c r="D143" s="587" t="s">
        <v>464</v>
      </c>
      <c r="E143" s="587"/>
      <c r="F143" s="237" t="s">
        <v>433</v>
      </c>
      <c r="G143" s="237" t="s">
        <v>483</v>
      </c>
      <c r="H143" s="587" t="s">
        <v>484</v>
      </c>
      <c r="I143" s="588"/>
      <c r="K143" s="12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2:32" s="219" customFormat="1" x14ac:dyDescent="0.2">
      <c r="B144" s="682" t="s">
        <v>602</v>
      </c>
      <c r="C144" s="683"/>
      <c r="D144" s="685" t="s">
        <v>480</v>
      </c>
      <c r="E144" s="683"/>
      <c r="F144" s="243">
        <f>$G$11</f>
        <v>62.5</v>
      </c>
      <c r="G144" s="243">
        <f>E11+E11+F11+F11</f>
        <v>55</v>
      </c>
      <c r="H144" s="686">
        <v>0.08</v>
      </c>
      <c r="I144" s="687"/>
      <c r="K144" s="123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219" customFormat="1" x14ac:dyDescent="0.2">
      <c r="B145" s="592" t="s">
        <v>477</v>
      </c>
      <c r="C145" s="589"/>
      <c r="D145" s="589" t="s">
        <v>479</v>
      </c>
      <c r="E145" s="589"/>
      <c r="F145" s="243">
        <f>$C$25-($F$146)</f>
        <v>209.69659999999999</v>
      </c>
      <c r="G145" s="240" t="s">
        <v>418</v>
      </c>
      <c r="H145" s="589">
        <v>7.0000000000000007E-2</v>
      </c>
      <c r="I145" s="590"/>
      <c r="K145" s="123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219" customFormat="1" ht="13.5" customHeight="1" x14ac:dyDescent="0.2">
      <c r="B146" s="592" t="s">
        <v>781</v>
      </c>
      <c r="C146" s="589"/>
      <c r="D146" s="589" t="s">
        <v>418</v>
      </c>
      <c r="E146" s="589"/>
      <c r="F146" s="243">
        <f>$F$149+(15.98*5.83)</f>
        <v>129.16340000000002</v>
      </c>
      <c r="G146" s="246" t="s">
        <v>418</v>
      </c>
      <c r="H146" s="632">
        <v>0.5</v>
      </c>
      <c r="I146" s="684"/>
      <c r="K146" s="123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219" customFormat="1" x14ac:dyDescent="0.2">
      <c r="B147" s="592" t="s">
        <v>478</v>
      </c>
      <c r="C147" s="589"/>
      <c r="D147" s="673" t="s">
        <v>480</v>
      </c>
      <c r="E147" s="673"/>
      <c r="F147" s="243">
        <f>$C$26+$C$27</f>
        <v>223.64000000000001</v>
      </c>
      <c r="G147" s="240">
        <v>74.209999999999994</v>
      </c>
      <c r="H147" s="589">
        <v>0.08</v>
      </c>
      <c r="I147" s="590"/>
      <c r="K147" s="123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219" customFormat="1" x14ac:dyDescent="0.2">
      <c r="B148" s="682" t="s">
        <v>606</v>
      </c>
      <c r="C148" s="683"/>
      <c r="D148" s="589" t="s">
        <v>481</v>
      </c>
      <c r="E148" s="589"/>
      <c r="F148" s="243">
        <f>9.7*3.5</f>
        <v>33.949999999999996</v>
      </c>
      <c r="G148" s="240" t="s">
        <v>418</v>
      </c>
      <c r="H148" s="632">
        <v>0.1</v>
      </c>
      <c r="I148" s="684"/>
      <c r="K148" s="123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219" customFormat="1" ht="13.5" thickBot="1" x14ac:dyDescent="0.25">
      <c r="B149" s="644" t="s">
        <v>3</v>
      </c>
      <c r="C149" s="621"/>
      <c r="D149" s="621" t="s">
        <v>482</v>
      </c>
      <c r="E149" s="621"/>
      <c r="F149" s="244">
        <f>4*9</f>
        <v>36</v>
      </c>
      <c r="G149" s="235" t="s">
        <v>418</v>
      </c>
      <c r="H149" s="688">
        <v>3.5000000000000003E-2</v>
      </c>
      <c r="I149" s="689"/>
      <c r="K149" s="123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9" customHeight="1" thickBot="1" x14ac:dyDescent="0.25">
      <c r="F150" s="219"/>
      <c r="K150" s="125"/>
    </row>
    <row r="151" spans="1:32" ht="21.95" customHeight="1" thickBot="1" x14ac:dyDescent="0.25">
      <c r="B151" s="669" t="s">
        <v>485</v>
      </c>
      <c r="C151" s="670"/>
      <c r="D151" s="670"/>
      <c r="E151" s="670"/>
      <c r="F151" s="670"/>
      <c r="G151" s="670"/>
      <c r="H151" s="670"/>
      <c r="I151" s="671"/>
      <c r="K151" s="125"/>
    </row>
    <row r="152" spans="1:32" s="219" customFormat="1" x14ac:dyDescent="0.2">
      <c r="B152" s="618" t="s">
        <v>488</v>
      </c>
      <c r="C152" s="619"/>
      <c r="D152" s="619"/>
      <c r="E152" s="619" t="s">
        <v>487</v>
      </c>
      <c r="F152" s="619"/>
      <c r="G152" s="619"/>
      <c r="H152" s="585" t="s">
        <v>486</v>
      </c>
      <c r="I152" s="586"/>
      <c r="K152" s="123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219" customFormat="1" ht="13.5" thickBot="1" x14ac:dyDescent="0.25">
      <c r="B153" s="628">
        <f>C154*F147/1000</f>
        <v>36.654596000000005</v>
      </c>
      <c r="C153" s="633"/>
      <c r="D153" s="633"/>
      <c r="E153" s="633">
        <f>$E$40</f>
        <v>22</v>
      </c>
      <c r="F153" s="633"/>
      <c r="G153" s="633"/>
      <c r="H153" s="611">
        <f>B153*E153</f>
        <v>806.40111200000013</v>
      </c>
      <c r="I153" s="622"/>
      <c r="K153" s="12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3.5" thickBot="1" x14ac:dyDescent="0.25">
      <c r="B154" s="132" t="s">
        <v>607</v>
      </c>
      <c r="C154" s="133">
        <v>163.9</v>
      </c>
      <c r="D154" s="132" t="s">
        <v>608</v>
      </c>
      <c r="E154" s="134"/>
      <c r="F154" s="134"/>
      <c r="G154" s="134"/>
      <c r="H154" s="134"/>
      <c r="I154" s="134"/>
      <c r="K154" s="125"/>
    </row>
    <row r="155" spans="1:32" ht="21.95" customHeight="1" thickBot="1" x14ac:dyDescent="0.25">
      <c r="B155" s="669" t="s">
        <v>485</v>
      </c>
      <c r="C155" s="670"/>
      <c r="D155" s="670"/>
      <c r="E155" s="670"/>
      <c r="F155" s="670"/>
      <c r="G155" s="670"/>
      <c r="H155" s="670"/>
      <c r="I155" s="671"/>
      <c r="K155" s="125"/>
    </row>
    <row r="156" spans="1:32" x14ac:dyDescent="0.2">
      <c r="B156" s="618" t="s">
        <v>488</v>
      </c>
      <c r="C156" s="619"/>
      <c r="D156" s="619"/>
      <c r="E156" s="619" t="s">
        <v>487</v>
      </c>
      <c r="F156" s="619"/>
      <c r="G156" s="619"/>
      <c r="H156" s="585" t="s">
        <v>486</v>
      </c>
      <c r="I156" s="586"/>
      <c r="K156" s="125"/>
    </row>
    <row r="157" spans="1:32" ht="13.5" thickBot="1" x14ac:dyDescent="0.25">
      <c r="B157" s="628">
        <f>$C$154*$F$144/1000</f>
        <v>10.24375</v>
      </c>
      <c r="C157" s="633"/>
      <c r="D157" s="633"/>
      <c r="E157" s="633">
        <f>$E$153</f>
        <v>22</v>
      </c>
      <c r="F157" s="633"/>
      <c r="G157" s="633"/>
      <c r="H157" s="611">
        <f>B157*E157</f>
        <v>225.36250000000001</v>
      </c>
      <c r="I157" s="622"/>
      <c r="K157" s="125"/>
    </row>
    <row r="158" spans="1:32" ht="9" customHeight="1" thickBot="1" x14ac:dyDescent="0.25">
      <c r="A158" s="134"/>
      <c r="B158" s="134"/>
      <c r="C158" s="134"/>
      <c r="D158" s="134"/>
      <c r="E158" s="134"/>
      <c r="F158" s="134"/>
      <c r="G158" s="134"/>
      <c r="H158" s="134"/>
      <c r="K158" s="125"/>
    </row>
    <row r="159" spans="1:32" ht="21.95" customHeight="1" thickBot="1" x14ac:dyDescent="0.25">
      <c r="B159" s="615" t="s">
        <v>116</v>
      </c>
      <c r="C159" s="616"/>
      <c r="D159" s="616"/>
      <c r="E159" s="616"/>
      <c r="F159" s="616"/>
      <c r="G159" s="616"/>
      <c r="H159" s="616"/>
      <c r="I159" s="617"/>
      <c r="K159" s="125"/>
    </row>
    <row r="160" spans="1:32" x14ac:dyDescent="0.2">
      <c r="B160" s="211" t="s">
        <v>58</v>
      </c>
      <c r="C160" s="587" t="s">
        <v>122</v>
      </c>
      <c r="D160" s="587"/>
      <c r="E160" s="587"/>
      <c r="F160" s="587"/>
      <c r="G160" s="135" t="s">
        <v>123</v>
      </c>
      <c r="H160" s="587" t="s">
        <v>63</v>
      </c>
      <c r="I160" s="588"/>
      <c r="K160" s="125"/>
    </row>
    <row r="161" spans="2:11" ht="38.25" x14ac:dyDescent="0.2">
      <c r="B161" s="82" t="s">
        <v>124</v>
      </c>
      <c r="C161" s="673" t="s">
        <v>541</v>
      </c>
      <c r="D161" s="673"/>
      <c r="E161" s="129" t="s">
        <v>125</v>
      </c>
      <c r="F161" s="129" t="s">
        <v>542</v>
      </c>
      <c r="G161" s="83" t="s">
        <v>126</v>
      </c>
      <c r="H161" s="589"/>
      <c r="I161" s="590"/>
      <c r="K161" s="125"/>
    </row>
    <row r="162" spans="2:11" ht="13.5" thickBot="1" x14ac:dyDescent="0.25">
      <c r="B162" s="221">
        <v>90780</v>
      </c>
      <c r="C162" s="633"/>
      <c r="D162" s="633"/>
      <c r="E162" s="131"/>
      <c r="F162" s="131"/>
      <c r="G162" s="131"/>
      <c r="H162" s="611"/>
      <c r="I162" s="622"/>
      <c r="K162" s="125"/>
    </row>
    <row r="163" spans="2:11" ht="9" customHeight="1" thickBot="1" x14ac:dyDescent="0.25">
      <c r="K163" s="125"/>
    </row>
    <row r="164" spans="2:11" ht="21.95" customHeight="1" thickBot="1" x14ac:dyDescent="0.25">
      <c r="B164" s="615" t="s">
        <v>489</v>
      </c>
      <c r="C164" s="616"/>
      <c r="D164" s="616"/>
      <c r="E164" s="616"/>
      <c r="F164" s="616"/>
      <c r="G164" s="616"/>
      <c r="H164" s="616"/>
      <c r="I164" s="617"/>
      <c r="K164" s="125"/>
    </row>
    <row r="165" spans="2:11" x14ac:dyDescent="0.2">
      <c r="B165" s="211" t="s">
        <v>58</v>
      </c>
      <c r="C165" s="587" t="s">
        <v>122</v>
      </c>
      <c r="D165" s="587"/>
      <c r="E165" s="587"/>
      <c r="F165" s="587"/>
      <c r="G165" s="135" t="s">
        <v>123</v>
      </c>
      <c r="H165" s="587" t="s">
        <v>63</v>
      </c>
      <c r="I165" s="588"/>
      <c r="K165" s="125"/>
    </row>
    <row r="166" spans="2:11" ht="38.25" x14ac:dyDescent="0.2">
      <c r="B166" s="82" t="s">
        <v>124</v>
      </c>
      <c r="C166" s="673" t="s">
        <v>541</v>
      </c>
      <c r="D166" s="673"/>
      <c r="E166" s="129" t="s">
        <v>125</v>
      </c>
      <c r="F166" s="129" t="s">
        <v>542</v>
      </c>
      <c r="G166" s="83" t="s">
        <v>126</v>
      </c>
      <c r="H166" s="589"/>
      <c r="I166" s="590"/>
      <c r="K166" s="125"/>
    </row>
    <row r="167" spans="2:11" ht="13.5" thickBot="1" x14ac:dyDescent="0.25">
      <c r="B167" s="221">
        <v>88326</v>
      </c>
      <c r="C167" s="633"/>
      <c r="D167" s="633"/>
      <c r="E167" s="131"/>
      <c r="F167" s="131"/>
      <c r="G167" s="131"/>
      <c r="H167" s="611"/>
      <c r="I167" s="622"/>
      <c r="K167" s="125"/>
    </row>
    <row r="168" spans="2:11" ht="9" customHeight="1" thickBot="1" x14ac:dyDescent="0.25">
      <c r="H168" s="215"/>
      <c r="K168" s="125"/>
    </row>
    <row r="169" spans="2:11" ht="21.95" customHeight="1" thickBot="1" x14ac:dyDescent="0.25">
      <c r="B169" s="615" t="s">
        <v>623</v>
      </c>
      <c r="C169" s="616"/>
      <c r="D169" s="616"/>
      <c r="E169" s="616"/>
      <c r="F169" s="616"/>
      <c r="G169" s="616"/>
      <c r="H169" s="616"/>
      <c r="I169" s="617"/>
      <c r="K169" s="125"/>
    </row>
    <row r="170" spans="2:11" x14ac:dyDescent="0.2">
      <c r="B170" s="657" t="s">
        <v>454</v>
      </c>
      <c r="C170" s="658"/>
      <c r="D170" s="585" t="s">
        <v>441</v>
      </c>
      <c r="E170" s="658"/>
      <c r="F170" s="585" t="s">
        <v>432</v>
      </c>
      <c r="G170" s="658"/>
      <c r="H170" s="585" t="s">
        <v>433</v>
      </c>
      <c r="I170" s="586"/>
    </row>
    <row r="171" spans="2:11" ht="13.5" thickBot="1" x14ac:dyDescent="0.25">
      <c r="B171" s="644" t="s">
        <v>624</v>
      </c>
      <c r="C171" s="621"/>
      <c r="D171" s="633">
        <v>16.88</v>
      </c>
      <c r="E171" s="633"/>
      <c r="F171" s="633">
        <v>4.34</v>
      </c>
      <c r="G171" s="633"/>
      <c r="H171" s="611">
        <f>D171*F171</f>
        <v>73.259199999999993</v>
      </c>
      <c r="I171" s="622"/>
    </row>
    <row r="172" spans="2:11" ht="9" customHeight="1" thickBot="1" x14ac:dyDescent="0.25"/>
    <row r="173" spans="2:11" ht="21.95" customHeight="1" thickBot="1" x14ac:dyDescent="0.25">
      <c r="B173" s="615" t="s">
        <v>625</v>
      </c>
      <c r="C173" s="616"/>
      <c r="D173" s="616"/>
      <c r="E173" s="616"/>
      <c r="F173" s="616"/>
      <c r="G173" s="616"/>
      <c r="H173" s="616"/>
      <c r="I173" s="617"/>
    </row>
    <row r="174" spans="2:11" x14ac:dyDescent="0.2">
      <c r="B174" s="657" t="s">
        <v>626</v>
      </c>
      <c r="C174" s="658"/>
      <c r="D174" s="585" t="s">
        <v>441</v>
      </c>
      <c r="E174" s="658"/>
      <c r="F174" s="585" t="s">
        <v>432</v>
      </c>
      <c r="G174" s="658"/>
      <c r="H174" s="585" t="s">
        <v>451</v>
      </c>
      <c r="I174" s="586"/>
    </row>
    <row r="175" spans="2:11" x14ac:dyDescent="0.2">
      <c r="B175" s="690">
        <v>0.1</v>
      </c>
      <c r="C175" s="632"/>
      <c r="D175" s="632">
        <v>19.72</v>
      </c>
      <c r="E175" s="632"/>
      <c r="F175" s="632">
        <v>17.329999999999998</v>
      </c>
      <c r="G175" s="632"/>
      <c r="H175" s="607">
        <f>D175+F175</f>
        <v>37.049999999999997</v>
      </c>
      <c r="I175" s="608"/>
    </row>
    <row r="176" spans="2:11" x14ac:dyDescent="0.2">
      <c r="B176" s="592" t="s">
        <v>627</v>
      </c>
      <c r="C176" s="589"/>
      <c r="D176" s="589" t="s">
        <v>628</v>
      </c>
      <c r="E176" s="589"/>
      <c r="F176" s="589" t="s">
        <v>632</v>
      </c>
      <c r="G176" s="589"/>
      <c r="H176" s="589" t="s">
        <v>629</v>
      </c>
      <c r="I176" s="590"/>
    </row>
    <row r="177" spans="2:9" ht="13.5" thickBot="1" x14ac:dyDescent="0.25">
      <c r="B177" s="628">
        <f>H175/B175</f>
        <v>370.49999999999994</v>
      </c>
      <c r="C177" s="633"/>
      <c r="D177" s="633">
        <f>($C$61*2)+(D61*2)</f>
        <v>0.89999999999999991</v>
      </c>
      <c r="E177" s="633"/>
      <c r="F177" s="633">
        <v>0.245</v>
      </c>
      <c r="G177" s="633"/>
      <c r="H177" s="611">
        <f>$B$177*$F$177*$D$177</f>
        <v>81.695249999999973</v>
      </c>
      <c r="I177" s="622"/>
    </row>
    <row r="178" spans="2:9" ht="9" customHeight="1" thickBot="1" x14ac:dyDescent="0.25"/>
    <row r="179" spans="2:9" ht="21.95" customHeight="1" thickBot="1" x14ac:dyDescent="0.25">
      <c r="B179" s="615" t="s">
        <v>630</v>
      </c>
      <c r="C179" s="616"/>
      <c r="D179" s="616"/>
      <c r="E179" s="616"/>
      <c r="F179" s="616"/>
      <c r="G179" s="616"/>
      <c r="H179" s="616"/>
      <c r="I179" s="617"/>
    </row>
    <row r="180" spans="2:9" x14ac:dyDescent="0.2">
      <c r="B180" s="657" t="s">
        <v>635</v>
      </c>
      <c r="C180" s="658"/>
      <c r="D180" s="585" t="s">
        <v>441</v>
      </c>
      <c r="E180" s="658"/>
      <c r="F180" s="585" t="s">
        <v>432</v>
      </c>
      <c r="G180" s="658"/>
      <c r="H180" s="585" t="s">
        <v>451</v>
      </c>
      <c r="I180" s="586"/>
    </row>
    <row r="181" spans="2:9" x14ac:dyDescent="0.2">
      <c r="B181" s="690">
        <v>4</v>
      </c>
      <c r="C181" s="632"/>
      <c r="D181" s="632">
        <f>$D$175</f>
        <v>19.72</v>
      </c>
      <c r="E181" s="632"/>
      <c r="F181" s="632">
        <f>$F$175</f>
        <v>17.329999999999998</v>
      </c>
      <c r="G181" s="632"/>
      <c r="H181" s="607">
        <f>D181+F181</f>
        <v>37.049999999999997</v>
      </c>
      <c r="I181" s="608"/>
    </row>
    <row r="182" spans="2:9" x14ac:dyDescent="0.2">
      <c r="B182" s="592" t="s">
        <v>633</v>
      </c>
      <c r="C182" s="589"/>
      <c r="D182" s="686" t="s">
        <v>631</v>
      </c>
      <c r="E182" s="652"/>
      <c r="F182" s="632" t="s">
        <v>654</v>
      </c>
      <c r="G182" s="632"/>
      <c r="H182" s="691" t="s">
        <v>629</v>
      </c>
      <c r="I182" s="687"/>
    </row>
    <row r="183" spans="2:9" ht="13.5" thickBot="1" x14ac:dyDescent="0.25">
      <c r="B183" s="628">
        <f>H181*B181</f>
        <v>148.19999999999999</v>
      </c>
      <c r="C183" s="633"/>
      <c r="D183" s="633">
        <v>0.61699999999999999</v>
      </c>
      <c r="E183" s="633"/>
      <c r="F183" s="693">
        <f>6*(2*$B$181)</f>
        <v>48</v>
      </c>
      <c r="G183" s="694"/>
      <c r="H183" s="593">
        <f>($B$183+$F$183)*$D$183</f>
        <v>121.05539999999999</v>
      </c>
      <c r="I183" s="695"/>
    </row>
    <row r="184" spans="2:9" ht="9" customHeight="1" thickBot="1" x14ac:dyDescent="0.25"/>
    <row r="185" spans="2:9" ht="21.95" customHeight="1" thickBot="1" x14ac:dyDescent="0.25">
      <c r="B185" s="615" t="s">
        <v>634</v>
      </c>
      <c r="C185" s="616"/>
      <c r="D185" s="616"/>
      <c r="E185" s="616"/>
      <c r="F185" s="616"/>
      <c r="G185" s="616"/>
      <c r="H185" s="616"/>
      <c r="I185" s="617"/>
    </row>
    <row r="186" spans="2:9" x14ac:dyDescent="0.2">
      <c r="B186" s="657" t="s">
        <v>636</v>
      </c>
      <c r="C186" s="658"/>
      <c r="D186" s="585" t="s">
        <v>638</v>
      </c>
      <c r="E186" s="658"/>
      <c r="F186" s="585" t="s">
        <v>637</v>
      </c>
      <c r="G186" s="658"/>
      <c r="H186" s="585" t="s">
        <v>440</v>
      </c>
      <c r="I186" s="586"/>
    </row>
    <row r="187" spans="2:9" ht="13.5" thickBot="1" x14ac:dyDescent="0.25">
      <c r="B187" s="623">
        <f>(($C$68*$D$68)*5)*$J$68</f>
        <v>6.4000000000000012</v>
      </c>
      <c r="C187" s="611"/>
      <c r="D187" s="611">
        <f>($D$175*$C$61)+($D$175*$D$61)</f>
        <v>8.8739999999999988</v>
      </c>
      <c r="E187" s="611"/>
      <c r="F187" s="611">
        <f>($F$175*$C$61)+($F$175*$D$61)</f>
        <v>7.7984999999999989</v>
      </c>
      <c r="G187" s="611"/>
      <c r="H187" s="611">
        <f>D187+F187+B187</f>
        <v>23.072500000000002</v>
      </c>
      <c r="I187" s="622"/>
    </row>
    <row r="188" spans="2:9" ht="9" customHeight="1" thickBot="1" x14ac:dyDescent="0.25"/>
    <row r="189" spans="2:9" ht="21.95" customHeight="1" thickBot="1" x14ac:dyDescent="0.25">
      <c r="B189" s="615" t="s">
        <v>639</v>
      </c>
      <c r="C189" s="616"/>
      <c r="D189" s="616"/>
      <c r="E189" s="616"/>
      <c r="F189" s="616"/>
      <c r="G189" s="616"/>
      <c r="H189" s="616"/>
      <c r="I189" s="617"/>
    </row>
    <row r="190" spans="2:9" x14ac:dyDescent="0.2">
      <c r="B190" s="657" t="s">
        <v>475</v>
      </c>
      <c r="C190" s="658"/>
      <c r="D190" s="585" t="s">
        <v>640</v>
      </c>
      <c r="E190" s="658"/>
      <c r="F190" s="585" t="s">
        <v>641</v>
      </c>
      <c r="G190" s="658"/>
      <c r="H190" s="585" t="s">
        <v>440</v>
      </c>
      <c r="I190" s="586"/>
    </row>
    <row r="191" spans="2:9" x14ac:dyDescent="0.2">
      <c r="B191" s="692">
        <v>2.4</v>
      </c>
      <c r="C191" s="607"/>
      <c r="D191" s="607">
        <f>11.37+3.91+0.15+1.1+3.95+1.1+0.15+1.1+3.95+1.1+0.15+3.91+3.02+0.15-($F$192)</f>
        <v>33.85</v>
      </c>
      <c r="E191" s="607"/>
      <c r="F191" s="607">
        <f>10+(7.6+7.6-$D$192)+10</f>
        <v>26</v>
      </c>
      <c r="G191" s="607"/>
      <c r="H191" s="607">
        <f>(D191+F191)*B191</f>
        <v>143.63999999999999</v>
      </c>
      <c r="I191" s="608"/>
    </row>
    <row r="192" spans="2:9" ht="13.5" thickBot="1" x14ac:dyDescent="0.25">
      <c r="B192" s="634" t="s">
        <v>642</v>
      </c>
      <c r="C192" s="612"/>
      <c r="D192" s="593">
        <f>(2.5+1.3+0.8)*2</f>
        <v>9.1999999999999993</v>
      </c>
      <c r="E192" s="594"/>
      <c r="F192" s="593">
        <f>1.8*0.7</f>
        <v>1.26</v>
      </c>
      <c r="G192" s="594"/>
      <c r="H192" s="611">
        <f>(D192+F192)*B191</f>
        <v>25.103999999999996</v>
      </c>
      <c r="I192" s="622"/>
    </row>
    <row r="196" spans="1:10" x14ac:dyDescent="0.2">
      <c r="A196" s="614"/>
      <c r="B196" s="614"/>
      <c r="C196" s="614"/>
      <c r="D196" s="614"/>
      <c r="E196" s="614"/>
      <c r="F196" s="614"/>
      <c r="G196" s="614"/>
      <c r="H196" s="614"/>
      <c r="I196" s="614"/>
      <c r="J196" s="614"/>
    </row>
    <row r="199" spans="1:10" ht="3.75" customHeight="1" x14ac:dyDescent="0.2"/>
  </sheetData>
  <mergeCells count="379">
    <mergeCell ref="B191:C191"/>
    <mergeCell ref="D191:E191"/>
    <mergeCell ref="F191:G191"/>
    <mergeCell ref="H191:I191"/>
    <mergeCell ref="B192:C192"/>
    <mergeCell ref="D192:E192"/>
    <mergeCell ref="F192:G192"/>
    <mergeCell ref="H192:I192"/>
    <mergeCell ref="B187:C187"/>
    <mergeCell ref="D187:E187"/>
    <mergeCell ref="F187:G187"/>
    <mergeCell ref="H187:I187"/>
    <mergeCell ref="B189:I189"/>
    <mergeCell ref="B190:C190"/>
    <mergeCell ref="D190:E190"/>
    <mergeCell ref="F190:G190"/>
    <mergeCell ref="H190:I190"/>
    <mergeCell ref="D186:E186"/>
    <mergeCell ref="F186:G186"/>
    <mergeCell ref="H186:I186"/>
    <mergeCell ref="B180:C180"/>
    <mergeCell ref="D180:E180"/>
    <mergeCell ref="F180:G180"/>
    <mergeCell ref="H180:I180"/>
    <mergeCell ref="B181:C181"/>
    <mergeCell ref="D181:E181"/>
    <mergeCell ref="F181:G181"/>
    <mergeCell ref="H181:I181"/>
    <mergeCell ref="B182:C182"/>
    <mergeCell ref="D182:E182"/>
    <mergeCell ref="F182:G182"/>
    <mergeCell ref="H182:I182"/>
    <mergeCell ref="B183:C183"/>
    <mergeCell ref="D183:E183"/>
    <mergeCell ref="F183:G183"/>
    <mergeCell ref="H183:I183"/>
    <mergeCell ref="B185:I185"/>
    <mergeCell ref="B186:C186"/>
    <mergeCell ref="B176:C176"/>
    <mergeCell ref="B177:C177"/>
    <mergeCell ref="D176:E176"/>
    <mergeCell ref="D177:E177"/>
    <mergeCell ref="F176:G176"/>
    <mergeCell ref="F177:G177"/>
    <mergeCell ref="H176:I176"/>
    <mergeCell ref="H177:I177"/>
    <mergeCell ref="B179:I179"/>
    <mergeCell ref="B173:I173"/>
    <mergeCell ref="B174:C174"/>
    <mergeCell ref="D174:E174"/>
    <mergeCell ref="F174:G174"/>
    <mergeCell ref="H174:I174"/>
    <mergeCell ref="B175:C175"/>
    <mergeCell ref="D175:E175"/>
    <mergeCell ref="F175:G175"/>
    <mergeCell ref="H175:I175"/>
    <mergeCell ref="B169:I169"/>
    <mergeCell ref="B170:C170"/>
    <mergeCell ref="D170:E170"/>
    <mergeCell ref="F170:G170"/>
    <mergeCell ref="H170:I170"/>
    <mergeCell ref="B171:C171"/>
    <mergeCell ref="D171:E171"/>
    <mergeCell ref="F171:G171"/>
    <mergeCell ref="H171:I171"/>
    <mergeCell ref="H116:I116"/>
    <mergeCell ref="H117:I117"/>
    <mergeCell ref="D116:E116"/>
    <mergeCell ref="D117:E117"/>
    <mergeCell ref="B115:C115"/>
    <mergeCell ref="H108:I108"/>
    <mergeCell ref="B109:C109"/>
    <mergeCell ref="D109:E109"/>
    <mergeCell ref="F109:G109"/>
    <mergeCell ref="H109:I110"/>
    <mergeCell ref="H115:I115"/>
    <mergeCell ref="B116:C116"/>
    <mergeCell ref="B117:C117"/>
    <mergeCell ref="F116:G116"/>
    <mergeCell ref="F117:G117"/>
    <mergeCell ref="B113:I113"/>
    <mergeCell ref="B114:C114"/>
    <mergeCell ref="D114:E114"/>
    <mergeCell ref="F114:G114"/>
    <mergeCell ref="H114:I114"/>
    <mergeCell ref="B110:C110"/>
    <mergeCell ref="D110:E110"/>
    <mergeCell ref="H111:I111"/>
    <mergeCell ref="B74:C74"/>
    <mergeCell ref="D74:E74"/>
    <mergeCell ref="F74:G74"/>
    <mergeCell ref="H74:I74"/>
    <mergeCell ref="C161:D161"/>
    <mergeCell ref="B157:D157"/>
    <mergeCell ref="E157:G157"/>
    <mergeCell ref="H157:I157"/>
    <mergeCell ref="G39:I39"/>
    <mergeCell ref="B40:D40"/>
    <mergeCell ref="E40:F40"/>
    <mergeCell ref="B144:C144"/>
    <mergeCell ref="D144:E144"/>
    <mergeCell ref="H144:I144"/>
    <mergeCell ref="E152:G152"/>
    <mergeCell ref="B155:I155"/>
    <mergeCell ref="B156:D156"/>
    <mergeCell ref="E156:G156"/>
    <mergeCell ref="H147:I147"/>
    <mergeCell ref="H148:I148"/>
    <mergeCell ref="H149:I149"/>
    <mergeCell ref="H82:I82"/>
    <mergeCell ref="B120:C120"/>
    <mergeCell ref="D120:E120"/>
    <mergeCell ref="B142:I142"/>
    <mergeCell ref="H143:I143"/>
    <mergeCell ref="H145:I145"/>
    <mergeCell ref="C165:F165"/>
    <mergeCell ref="H165:I166"/>
    <mergeCell ref="C166:D166"/>
    <mergeCell ref="C167:D167"/>
    <mergeCell ref="H167:I167"/>
    <mergeCell ref="H162:I162"/>
    <mergeCell ref="C162:D162"/>
    <mergeCell ref="B164:I164"/>
    <mergeCell ref="D143:E143"/>
    <mergeCell ref="D145:E145"/>
    <mergeCell ref="D146:E146"/>
    <mergeCell ref="B159:I159"/>
    <mergeCell ref="C160:F160"/>
    <mergeCell ref="H160:I161"/>
    <mergeCell ref="B147:C147"/>
    <mergeCell ref="H153:I153"/>
    <mergeCell ref="D149:E149"/>
    <mergeCell ref="B143:C143"/>
    <mergeCell ref="B145:C145"/>
    <mergeCell ref="B146:C146"/>
    <mergeCell ref="B148:C148"/>
    <mergeCell ref="B149:C149"/>
    <mergeCell ref="D147:E147"/>
    <mergeCell ref="H146:I146"/>
    <mergeCell ref="B151:I151"/>
    <mergeCell ref="D148:E148"/>
    <mergeCell ref="B153:D153"/>
    <mergeCell ref="B152:D152"/>
    <mergeCell ref="E153:G153"/>
    <mergeCell ref="H122:I122"/>
    <mergeCell ref="B124:I124"/>
    <mergeCell ref="B125:C125"/>
    <mergeCell ref="D125:E125"/>
    <mergeCell ref="F125:G125"/>
    <mergeCell ref="H125:I125"/>
    <mergeCell ref="F118:G118"/>
    <mergeCell ref="F119:G119"/>
    <mergeCell ref="H118:I118"/>
    <mergeCell ref="H119:I119"/>
    <mergeCell ref="B118:C118"/>
    <mergeCell ref="B119:C119"/>
    <mergeCell ref="D118:E118"/>
    <mergeCell ref="D119:E119"/>
    <mergeCell ref="B121:C121"/>
    <mergeCell ref="D121:E121"/>
    <mergeCell ref="F121:G121"/>
    <mergeCell ref="H121:I121"/>
    <mergeCell ref="F120:G120"/>
    <mergeCell ref="H120:I120"/>
    <mergeCell ref="H100:I101"/>
    <mergeCell ref="D102:E102"/>
    <mergeCell ref="F102:G102"/>
    <mergeCell ref="H99:I99"/>
    <mergeCell ref="F103:G103"/>
    <mergeCell ref="B105:C105"/>
    <mergeCell ref="D105:E105"/>
    <mergeCell ref="F104:G104"/>
    <mergeCell ref="F105:G105"/>
    <mergeCell ref="H105:I105"/>
    <mergeCell ref="B103:C103"/>
    <mergeCell ref="D103:E103"/>
    <mergeCell ref="B104:C104"/>
    <mergeCell ref="D104:E104"/>
    <mergeCell ref="H102:I104"/>
    <mergeCell ref="D126:E126"/>
    <mergeCell ref="F126:G126"/>
    <mergeCell ref="B100:C100"/>
    <mergeCell ref="D100:E100"/>
    <mergeCell ref="F95:G95"/>
    <mergeCell ref="F96:G96"/>
    <mergeCell ref="B95:C95"/>
    <mergeCell ref="B96:C96"/>
    <mergeCell ref="F100:G100"/>
    <mergeCell ref="B102:C102"/>
    <mergeCell ref="D101:E101"/>
    <mergeCell ref="F101:G101"/>
    <mergeCell ref="B101:C101"/>
    <mergeCell ref="D115:E115"/>
    <mergeCell ref="F115:G115"/>
    <mergeCell ref="B122:G122"/>
    <mergeCell ref="F110:G110"/>
    <mergeCell ref="B111:C111"/>
    <mergeCell ref="D111:E111"/>
    <mergeCell ref="F111:G111"/>
    <mergeCell ref="B107:I107"/>
    <mergeCell ref="B108:C108"/>
    <mergeCell ref="D108:E108"/>
    <mergeCell ref="F108:G108"/>
    <mergeCell ref="H92:I92"/>
    <mergeCell ref="F92:G92"/>
    <mergeCell ref="D92:E92"/>
    <mergeCell ref="B92:C92"/>
    <mergeCell ref="H126:I126"/>
    <mergeCell ref="H127:I127"/>
    <mergeCell ref="B127:C127"/>
    <mergeCell ref="H93:I94"/>
    <mergeCell ref="B98:I98"/>
    <mergeCell ref="B99:C99"/>
    <mergeCell ref="D99:E99"/>
    <mergeCell ref="F99:G99"/>
    <mergeCell ref="D127:E127"/>
    <mergeCell ref="F127:G127"/>
    <mergeCell ref="B93:C93"/>
    <mergeCell ref="B94:C94"/>
    <mergeCell ref="F93:G93"/>
    <mergeCell ref="F94:G94"/>
    <mergeCell ref="D96:E96"/>
    <mergeCell ref="H95:I96"/>
    <mergeCell ref="D93:E93"/>
    <mergeCell ref="D94:E94"/>
    <mergeCell ref="D95:E95"/>
    <mergeCell ref="B126:C126"/>
    <mergeCell ref="C88:D88"/>
    <mergeCell ref="E88:G88"/>
    <mergeCell ref="H88:I88"/>
    <mergeCell ref="B89:G89"/>
    <mergeCell ref="H89:I89"/>
    <mergeCell ref="B91:I91"/>
    <mergeCell ref="B84:F84"/>
    <mergeCell ref="G84:I84"/>
    <mergeCell ref="B86:I86"/>
    <mergeCell ref="C87:D87"/>
    <mergeCell ref="E87:G87"/>
    <mergeCell ref="H87:I87"/>
    <mergeCell ref="F75:G75"/>
    <mergeCell ref="H73:I73"/>
    <mergeCell ref="H83:I83"/>
    <mergeCell ref="H75:I75"/>
    <mergeCell ref="B79:C79"/>
    <mergeCell ref="D79:E79"/>
    <mergeCell ref="F79:G79"/>
    <mergeCell ref="H56:I57"/>
    <mergeCell ref="B80:C80"/>
    <mergeCell ref="B81:C81"/>
    <mergeCell ref="D80:E80"/>
    <mergeCell ref="D81:E81"/>
    <mergeCell ref="F80:G80"/>
    <mergeCell ref="B76:G76"/>
    <mergeCell ref="H76:I76"/>
    <mergeCell ref="B78:I78"/>
    <mergeCell ref="F73:G73"/>
    <mergeCell ref="F81:G81"/>
    <mergeCell ref="H79:I79"/>
    <mergeCell ref="H80:I80"/>
    <mergeCell ref="H81:I81"/>
    <mergeCell ref="B82:C82"/>
    <mergeCell ref="D82:E82"/>
    <mergeCell ref="F82:G82"/>
    <mergeCell ref="B128:G128"/>
    <mergeCell ref="H128:I128"/>
    <mergeCell ref="A59:J59"/>
    <mergeCell ref="A69:D69"/>
    <mergeCell ref="B71:I71"/>
    <mergeCell ref="H72:I72"/>
    <mergeCell ref="F72:G72"/>
    <mergeCell ref="B54:I54"/>
    <mergeCell ref="H55:I55"/>
    <mergeCell ref="E55:G55"/>
    <mergeCell ref="B55:D55"/>
    <mergeCell ref="B56:D56"/>
    <mergeCell ref="E56:G56"/>
    <mergeCell ref="D72:E72"/>
    <mergeCell ref="B72:C72"/>
    <mergeCell ref="B73:C73"/>
    <mergeCell ref="B83:C83"/>
    <mergeCell ref="B75:C75"/>
    <mergeCell ref="D73:E73"/>
    <mergeCell ref="D83:E83"/>
    <mergeCell ref="D75:E75"/>
    <mergeCell ref="B57:D57"/>
    <mergeCell ref="E57:G57"/>
    <mergeCell ref="F83:G83"/>
    <mergeCell ref="B50:I50"/>
    <mergeCell ref="H51:I51"/>
    <mergeCell ref="E51:G51"/>
    <mergeCell ref="B51:D51"/>
    <mergeCell ref="B52:D52"/>
    <mergeCell ref="E52:G52"/>
    <mergeCell ref="H52:I52"/>
    <mergeCell ref="H47:I47"/>
    <mergeCell ref="F47:G47"/>
    <mergeCell ref="D47:E47"/>
    <mergeCell ref="B47:C47"/>
    <mergeCell ref="B48:C48"/>
    <mergeCell ref="D48:E48"/>
    <mergeCell ref="F48:G48"/>
    <mergeCell ref="H48:I48"/>
    <mergeCell ref="B43:C43"/>
    <mergeCell ref="G43:H43"/>
    <mergeCell ref="E43:F43"/>
    <mergeCell ref="E44:F44"/>
    <mergeCell ref="G44:H44"/>
    <mergeCell ref="B46:I46"/>
    <mergeCell ref="G35:I35"/>
    <mergeCell ref="B35:D35"/>
    <mergeCell ref="E35:F35"/>
    <mergeCell ref="E36:F36"/>
    <mergeCell ref="G36:I36"/>
    <mergeCell ref="B42:I42"/>
    <mergeCell ref="G40:I40"/>
    <mergeCell ref="B38:I38"/>
    <mergeCell ref="B39:D39"/>
    <mergeCell ref="E39:F39"/>
    <mergeCell ref="B34:I34"/>
    <mergeCell ref="D25:E25"/>
    <mergeCell ref="H25:I25"/>
    <mergeCell ref="F25:G25"/>
    <mergeCell ref="F27:G27"/>
    <mergeCell ref="H26:I26"/>
    <mergeCell ref="H27:I27"/>
    <mergeCell ref="B30:I30"/>
    <mergeCell ref="F31:G31"/>
    <mergeCell ref="B31:E31"/>
    <mergeCell ref="B32:E32"/>
    <mergeCell ref="H31:I31"/>
    <mergeCell ref="H32:I32"/>
    <mergeCell ref="B28:G28"/>
    <mergeCell ref="H28:I28"/>
    <mergeCell ref="D26:E26"/>
    <mergeCell ref="F32:G32"/>
    <mergeCell ref="I5:J5"/>
    <mergeCell ref="I6:J6"/>
    <mergeCell ref="D27:E27"/>
    <mergeCell ref="F26:G26"/>
    <mergeCell ref="A196:J196"/>
    <mergeCell ref="B14:I14"/>
    <mergeCell ref="B15:C15"/>
    <mergeCell ref="D15:E15"/>
    <mergeCell ref="B21:C21"/>
    <mergeCell ref="D21:E21"/>
    <mergeCell ref="H21:I21"/>
    <mergeCell ref="B44:C44"/>
    <mergeCell ref="B36:D36"/>
    <mergeCell ref="B23:I23"/>
    <mergeCell ref="H24:I24"/>
    <mergeCell ref="F24:G24"/>
    <mergeCell ref="D24:E24"/>
    <mergeCell ref="H15:I15"/>
    <mergeCell ref="H16:I16"/>
    <mergeCell ref="B16:C16"/>
    <mergeCell ref="D16:E16"/>
    <mergeCell ref="B18:I18"/>
    <mergeCell ref="D19:E19"/>
    <mergeCell ref="F19:G19"/>
    <mergeCell ref="C4:H4"/>
    <mergeCell ref="C5:H5"/>
    <mergeCell ref="C6:H6"/>
    <mergeCell ref="A4:B6"/>
    <mergeCell ref="H152:I152"/>
    <mergeCell ref="H156:I156"/>
    <mergeCell ref="H19:I20"/>
    <mergeCell ref="B19:C20"/>
    <mergeCell ref="F21:G21"/>
    <mergeCell ref="A7:J7"/>
    <mergeCell ref="B8:I8"/>
    <mergeCell ref="B9:D9"/>
    <mergeCell ref="B10:D10"/>
    <mergeCell ref="B11:D11"/>
    <mergeCell ref="G9:I9"/>
    <mergeCell ref="G10:I10"/>
    <mergeCell ref="G11:I11"/>
    <mergeCell ref="B12:F12"/>
    <mergeCell ref="G12:I12"/>
    <mergeCell ref="I4:J4"/>
  </mergeCells>
  <printOptions horizontalCentered="1"/>
  <pageMargins left="0.39370078740157483" right="0.39370078740157483" top="0.39370078740157483" bottom="0.39370078740157483" header="0" footer="0"/>
  <pageSetup paperSize="8" scale="106" fitToHeight="0" orientation="portrait" r:id="rId1"/>
  <rowBreaks count="2" manualBreakCount="2">
    <brk id="76" max="9" man="1"/>
    <brk id="149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88"/>
  <sheetViews>
    <sheetView showGridLines="0" view="pageBreakPreview" topLeftCell="A78" zoomScaleNormal="100" zoomScaleSheetLayoutView="100" workbookViewId="0">
      <selection activeCell="J87" sqref="J87"/>
    </sheetView>
  </sheetViews>
  <sheetFormatPr defaultRowHeight="12.75" x14ac:dyDescent="0.2"/>
  <cols>
    <col min="1" max="1" width="10.7109375" customWidth="1"/>
    <col min="2" max="2" width="43.28515625" customWidth="1"/>
    <col min="7" max="7" width="10.28515625" customWidth="1"/>
    <col min="19" max="19" width="11" bestFit="1" customWidth="1"/>
    <col min="20" max="20" width="9.5703125" bestFit="1" customWidth="1"/>
    <col min="21" max="21" width="10.85546875" bestFit="1" customWidth="1"/>
    <col min="22" max="22" width="9.5703125" bestFit="1" customWidth="1"/>
    <col min="24" max="24" width="9.5703125" bestFit="1" customWidth="1"/>
    <col min="25" max="25" width="16.7109375" bestFit="1" customWidth="1"/>
    <col min="26" max="26" width="13.28515625" bestFit="1" customWidth="1"/>
  </cols>
  <sheetData>
    <row r="1" spans="1:27" ht="18.75" customHeight="1" x14ac:dyDescent="0.2">
      <c r="A1" s="699"/>
      <c r="B1" s="552" t="s">
        <v>747</v>
      </c>
      <c r="C1" s="553"/>
      <c r="D1" s="553"/>
      <c r="E1" s="554"/>
      <c r="F1" s="546" t="s">
        <v>748</v>
      </c>
      <c r="G1" s="547"/>
    </row>
    <row r="2" spans="1:27" ht="18.75" customHeight="1" x14ac:dyDescent="0.2">
      <c r="A2" s="700"/>
      <c r="B2" s="555" t="s">
        <v>749</v>
      </c>
      <c r="C2" s="556"/>
      <c r="D2" s="556"/>
      <c r="E2" s="557"/>
      <c r="F2" s="559">
        <f ca="1">NOW()</f>
        <v>43761.736742476853</v>
      </c>
      <c r="G2" s="560"/>
    </row>
    <row r="3" spans="1:27" ht="18.75" customHeight="1" thickBot="1" x14ac:dyDescent="0.25">
      <c r="A3" s="701"/>
      <c r="B3" s="550" t="s">
        <v>750</v>
      </c>
      <c r="C3" s="558"/>
      <c r="D3" s="558"/>
      <c r="E3" s="551"/>
      <c r="F3" s="513" t="s">
        <v>513</v>
      </c>
      <c r="G3" s="514"/>
    </row>
    <row r="4" spans="1:27" ht="33" customHeight="1" thickBot="1" x14ac:dyDescent="0.25">
      <c r="A4" s="696" t="s">
        <v>757</v>
      </c>
      <c r="B4" s="697"/>
      <c r="C4" s="697"/>
      <c r="D4" s="697"/>
      <c r="E4" s="697"/>
      <c r="F4" s="697"/>
      <c r="G4" s="698"/>
    </row>
    <row r="5" spans="1:27" ht="33" customHeight="1" thickBot="1" x14ac:dyDescent="0.25">
      <c r="A5" s="16" t="s">
        <v>73</v>
      </c>
    </row>
    <row r="6" spans="1:27" s="307" customFormat="1" ht="23.1" customHeight="1" x14ac:dyDescent="0.2">
      <c r="A6" s="708" t="s">
        <v>74</v>
      </c>
      <c r="B6" s="709"/>
      <c r="C6" s="709"/>
      <c r="D6" s="709"/>
      <c r="E6" s="709"/>
      <c r="F6" s="709"/>
      <c r="G6" s="71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25.5" customHeight="1" x14ac:dyDescent="0.2">
      <c r="A7" s="112" t="s">
        <v>730</v>
      </c>
      <c r="B7" s="113" t="s">
        <v>152</v>
      </c>
      <c r="C7" s="476" t="s">
        <v>64</v>
      </c>
      <c r="D7" s="476" t="s">
        <v>24</v>
      </c>
      <c r="E7" s="477" t="s">
        <v>805</v>
      </c>
      <c r="F7" s="477" t="s">
        <v>804</v>
      </c>
      <c r="G7" s="478">
        <f>G8+G9+G10</f>
        <v>0</v>
      </c>
    </row>
    <row r="8" spans="1:27" ht="25.5" customHeight="1" x14ac:dyDescent="0.2">
      <c r="A8" s="9">
        <v>88262</v>
      </c>
      <c r="B8" s="6" t="s">
        <v>72</v>
      </c>
      <c r="C8" s="8" t="s">
        <v>65</v>
      </c>
      <c r="D8" s="8" t="s">
        <v>66</v>
      </c>
      <c r="E8" s="222">
        <v>0.15</v>
      </c>
      <c r="F8" s="137"/>
      <c r="G8" s="10"/>
    </row>
    <row r="9" spans="1:27" ht="25.5" customHeight="1" x14ac:dyDescent="0.2">
      <c r="A9" s="9">
        <v>3992</v>
      </c>
      <c r="B9" s="6" t="s">
        <v>67</v>
      </c>
      <c r="C9" s="8" t="s">
        <v>68</v>
      </c>
      <c r="D9" s="8" t="s">
        <v>69</v>
      </c>
      <c r="E9" s="223">
        <v>1</v>
      </c>
      <c r="F9" s="137"/>
      <c r="G9" s="10"/>
    </row>
    <row r="10" spans="1:27" ht="25.5" customHeight="1" thickBot="1" x14ac:dyDescent="0.25">
      <c r="A10" s="11">
        <v>88239</v>
      </c>
      <c r="B10" s="12" t="s">
        <v>71</v>
      </c>
      <c r="C10" s="13" t="s">
        <v>65</v>
      </c>
      <c r="D10" s="13" t="s">
        <v>66</v>
      </c>
      <c r="E10" s="14">
        <v>0.4</v>
      </c>
      <c r="F10" s="138"/>
      <c r="G10" s="15"/>
    </row>
    <row r="11" spans="1:27" ht="10.5" customHeight="1" x14ac:dyDescent="0.2"/>
    <row r="12" spans="1:27" ht="13.5" thickBot="1" x14ac:dyDescent="0.25"/>
    <row r="13" spans="1:27" s="307" customFormat="1" ht="23.1" customHeight="1" thickBot="1" x14ac:dyDescent="0.25">
      <c r="B13" s="629" t="s">
        <v>76</v>
      </c>
      <c r="C13" s="630"/>
      <c r="D13" s="630"/>
      <c r="E13" s="630"/>
      <c r="F13" s="63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7" ht="20.25" customHeight="1" x14ac:dyDescent="0.2">
      <c r="B14" s="115" t="s">
        <v>26</v>
      </c>
      <c r="C14" s="116" t="s">
        <v>75</v>
      </c>
      <c r="D14" s="116" t="s">
        <v>77</v>
      </c>
      <c r="E14" s="117" t="s">
        <v>57</v>
      </c>
      <c r="F14" s="118" t="s">
        <v>61</v>
      </c>
    </row>
    <row r="15" spans="1:27" ht="15.75" customHeight="1" x14ac:dyDescent="0.2">
      <c r="B15" s="79" t="s">
        <v>151</v>
      </c>
      <c r="C15" s="17">
        <v>1.5</v>
      </c>
      <c r="D15" s="17">
        <v>7</v>
      </c>
      <c r="E15" s="21">
        <v>4</v>
      </c>
      <c r="F15" s="19">
        <f>C15*D15*E15</f>
        <v>42</v>
      </c>
    </row>
    <row r="16" spans="1:27" ht="18" customHeight="1" x14ac:dyDescent="0.2">
      <c r="B16" s="20" t="s">
        <v>150</v>
      </c>
      <c r="C16" s="17">
        <v>1.5</v>
      </c>
      <c r="D16" s="17">
        <v>5</v>
      </c>
      <c r="E16" s="21">
        <v>4</v>
      </c>
      <c r="F16" s="19">
        <f>C16*D16*E16</f>
        <v>30</v>
      </c>
    </row>
    <row r="17" spans="1:25" ht="18" customHeight="1" x14ac:dyDescent="0.2">
      <c r="B17" s="20" t="s">
        <v>3</v>
      </c>
      <c r="C17" s="17">
        <v>1.5</v>
      </c>
      <c r="D17" s="17">
        <v>10</v>
      </c>
      <c r="E17" s="21">
        <v>4</v>
      </c>
      <c r="F17" s="19">
        <f>C17*D17*E17</f>
        <v>60</v>
      </c>
    </row>
    <row r="18" spans="1:25" ht="18" customHeight="1" x14ac:dyDescent="0.2">
      <c r="B18" s="20" t="s">
        <v>3</v>
      </c>
      <c r="C18" s="17">
        <v>1.5</v>
      </c>
      <c r="D18" s="17">
        <v>8</v>
      </c>
      <c r="E18" s="21">
        <v>4</v>
      </c>
      <c r="F18" s="19">
        <f>C18*D18*E18</f>
        <v>48</v>
      </c>
    </row>
    <row r="19" spans="1:25" ht="18" hidden="1" customHeight="1" x14ac:dyDescent="0.2">
      <c r="B19" s="20"/>
      <c r="C19" s="17"/>
      <c r="D19" s="17"/>
      <c r="E19" s="21"/>
      <c r="F19" s="19"/>
    </row>
    <row r="20" spans="1:25" ht="15.75" hidden="1" customHeight="1" x14ac:dyDescent="0.2">
      <c r="B20" s="18"/>
      <c r="C20" s="17"/>
      <c r="D20" s="17"/>
      <c r="E20" s="21"/>
      <c r="F20" s="19"/>
    </row>
    <row r="21" spans="1:25" ht="18" customHeight="1" thickBot="1" x14ac:dyDescent="0.25">
      <c r="B21" s="702" t="s">
        <v>61</v>
      </c>
      <c r="C21" s="703"/>
      <c r="D21" s="703"/>
      <c r="E21" s="704"/>
      <c r="F21" s="139">
        <f>SUM(F15:F18)</f>
        <v>180</v>
      </c>
      <c r="I21" s="23"/>
    </row>
    <row r="26" spans="1:25" s="312" customFormat="1" ht="13.5" thickBot="1" x14ac:dyDescent="0.25">
      <c r="A26" s="313" t="s">
        <v>88</v>
      </c>
      <c r="B26" s="314"/>
      <c r="C26" s="314"/>
      <c r="D26" s="314"/>
      <c r="E26" s="314"/>
      <c r="F26" s="314"/>
      <c r="G26" s="31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s="307" customFormat="1" ht="23.1" customHeight="1" x14ac:dyDescent="0.2">
      <c r="A27" s="705" t="s">
        <v>89</v>
      </c>
      <c r="B27" s="706"/>
      <c r="C27" s="706"/>
      <c r="D27" s="706"/>
      <c r="E27" s="706"/>
      <c r="F27" s="706"/>
      <c r="G27" s="70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25.5" x14ac:dyDescent="0.2">
      <c r="A28" s="112" t="s">
        <v>731</v>
      </c>
      <c r="B28" s="113" t="s">
        <v>70</v>
      </c>
      <c r="C28" s="476" t="s">
        <v>64</v>
      </c>
      <c r="D28" s="476" t="s">
        <v>24</v>
      </c>
      <c r="E28" s="477" t="s">
        <v>805</v>
      </c>
      <c r="F28" s="477" t="s">
        <v>804</v>
      </c>
      <c r="G28" s="478">
        <f>G29+G30+G31</f>
        <v>0</v>
      </c>
    </row>
    <row r="29" spans="1:25" ht="25.5" x14ac:dyDescent="0.2">
      <c r="A29" s="9">
        <v>88262</v>
      </c>
      <c r="B29" s="6" t="s">
        <v>72</v>
      </c>
      <c r="C29" s="8" t="s">
        <v>65</v>
      </c>
      <c r="D29" s="8" t="s">
        <v>66</v>
      </c>
      <c r="E29" s="222">
        <v>0.15</v>
      </c>
      <c r="F29" s="137"/>
      <c r="G29" s="10"/>
    </row>
    <row r="30" spans="1:25" ht="38.25" x14ac:dyDescent="0.2">
      <c r="A30" s="9">
        <v>4481</v>
      </c>
      <c r="B30" s="6" t="s">
        <v>391</v>
      </c>
      <c r="C30" s="8" t="s">
        <v>68</v>
      </c>
      <c r="D30" s="8" t="s">
        <v>69</v>
      </c>
      <c r="E30" s="223">
        <v>1</v>
      </c>
      <c r="F30" s="137"/>
      <c r="G30" s="10"/>
    </row>
    <row r="31" spans="1:25" ht="26.25" thickBot="1" x14ac:dyDescent="0.25">
      <c r="A31" s="11">
        <v>88239</v>
      </c>
      <c r="B31" s="12" t="s">
        <v>71</v>
      </c>
      <c r="C31" s="13" t="s">
        <v>65</v>
      </c>
      <c r="D31" s="13" t="s">
        <v>66</v>
      </c>
      <c r="E31" s="14">
        <v>0.4</v>
      </c>
      <c r="F31" s="138"/>
      <c r="G31" s="220"/>
    </row>
    <row r="32" spans="1:25" ht="10.5" customHeight="1" x14ac:dyDescent="0.2"/>
    <row r="33" spans="1:25" hidden="1" x14ac:dyDescent="0.2"/>
    <row r="34" spans="1:25" hidden="1" x14ac:dyDescent="0.2"/>
    <row r="35" spans="1:25" ht="13.5" thickBot="1" x14ac:dyDescent="0.25"/>
    <row r="36" spans="1:25" s="307" customFormat="1" ht="23.1" customHeight="1" thickBot="1" x14ac:dyDescent="0.25">
      <c r="B36" s="629" t="s">
        <v>82</v>
      </c>
      <c r="C36" s="630"/>
      <c r="D36" s="630"/>
      <c r="E36" s="630"/>
      <c r="F36" s="630"/>
      <c r="G36" s="631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x14ac:dyDescent="0.2">
      <c r="B37" s="115" t="s">
        <v>26</v>
      </c>
      <c r="C37" s="116" t="s">
        <v>79</v>
      </c>
      <c r="D37" s="116" t="s">
        <v>57</v>
      </c>
      <c r="E37" s="117" t="s">
        <v>81</v>
      </c>
      <c r="F37" s="119" t="s">
        <v>80</v>
      </c>
      <c r="G37" s="118" t="s">
        <v>61</v>
      </c>
    </row>
    <row r="38" spans="1:25" x14ac:dyDescent="0.2">
      <c r="B38" s="20" t="s">
        <v>83</v>
      </c>
      <c r="C38" s="17">
        <v>1.8</v>
      </c>
      <c r="D38" s="17"/>
      <c r="E38" s="21">
        <v>14</v>
      </c>
      <c r="F38" s="21">
        <v>3</v>
      </c>
      <c r="G38" s="19">
        <f>C38*(E38+F38)</f>
        <v>30.6</v>
      </c>
    </row>
    <row r="39" spans="1:25" x14ac:dyDescent="0.2">
      <c r="B39" s="20" t="s">
        <v>84</v>
      </c>
      <c r="C39" s="17">
        <v>1.8</v>
      </c>
      <c r="D39" s="17"/>
      <c r="E39" s="21"/>
      <c r="F39" s="21">
        <v>2</v>
      </c>
      <c r="G39" s="19">
        <f>C39*(E39+F39)</f>
        <v>3.6</v>
      </c>
    </row>
    <row r="40" spans="1:25" x14ac:dyDescent="0.2">
      <c r="B40" s="20" t="s">
        <v>85</v>
      </c>
      <c r="C40" s="17">
        <v>3</v>
      </c>
      <c r="D40" s="17"/>
      <c r="E40" s="21">
        <v>8</v>
      </c>
      <c r="F40" s="21">
        <v>2</v>
      </c>
      <c r="G40" s="19">
        <f>C40*(E40+F40)</f>
        <v>30</v>
      </c>
    </row>
    <row r="41" spans="1:25" x14ac:dyDescent="0.2">
      <c r="B41" s="20" t="s">
        <v>86</v>
      </c>
      <c r="C41" s="17">
        <v>3</v>
      </c>
      <c r="D41" s="17"/>
      <c r="E41" s="21"/>
      <c r="F41" s="21">
        <v>2</v>
      </c>
      <c r="G41" s="19">
        <f>C41*(E41+F41)</f>
        <v>6</v>
      </c>
    </row>
    <row r="42" spans="1:25" x14ac:dyDescent="0.2">
      <c r="B42" s="18"/>
      <c r="C42" s="17"/>
      <c r="D42" s="17"/>
      <c r="E42" s="21"/>
      <c r="F42" s="21"/>
      <c r="G42" s="19"/>
    </row>
    <row r="43" spans="1:25" ht="13.5" thickBot="1" x14ac:dyDescent="0.25">
      <c r="B43" s="702" t="s">
        <v>61</v>
      </c>
      <c r="C43" s="703"/>
      <c r="D43" s="703"/>
      <c r="E43" s="704"/>
      <c r="F43" s="22"/>
      <c r="G43" s="140">
        <f>SUM(G38:G41)</f>
        <v>70.2</v>
      </c>
    </row>
    <row r="48" spans="1:25" s="312" customFormat="1" ht="33" customHeight="1" thickBot="1" x14ac:dyDescent="0.25">
      <c r="A48" s="313" t="s">
        <v>90</v>
      </c>
      <c r="B48" s="314"/>
      <c r="C48" s="314"/>
      <c r="D48" s="314"/>
      <c r="E48" s="314"/>
      <c r="F48" s="314"/>
      <c r="G48" s="314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s="307" customFormat="1" ht="23.1" customHeight="1" x14ac:dyDescent="0.2">
      <c r="A49" s="705" t="s">
        <v>91</v>
      </c>
      <c r="B49" s="706"/>
      <c r="C49" s="706"/>
      <c r="D49" s="706"/>
      <c r="E49" s="706"/>
      <c r="F49" s="706"/>
      <c r="G49" s="707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25.5" customHeight="1" x14ac:dyDescent="0.2">
      <c r="A50" s="112" t="s">
        <v>732</v>
      </c>
      <c r="B50" s="113" t="s">
        <v>70</v>
      </c>
      <c r="C50" s="114" t="s">
        <v>64</v>
      </c>
      <c r="D50" s="476" t="s">
        <v>24</v>
      </c>
      <c r="E50" s="477" t="s">
        <v>805</v>
      </c>
      <c r="F50" s="477" t="s">
        <v>804</v>
      </c>
      <c r="G50" s="478">
        <f>G51+G52+G53</f>
        <v>0</v>
      </c>
    </row>
    <row r="51" spans="1:25" ht="25.5" customHeight="1" x14ac:dyDescent="0.2">
      <c r="A51" s="9">
        <v>88262</v>
      </c>
      <c r="B51" s="6" t="s">
        <v>72</v>
      </c>
      <c r="C51" s="8" t="s">
        <v>65</v>
      </c>
      <c r="D51" s="8" t="s">
        <v>66</v>
      </c>
      <c r="E51" s="7">
        <v>0.1</v>
      </c>
      <c r="F51" s="137"/>
      <c r="G51" s="10"/>
    </row>
    <row r="52" spans="1:25" ht="25.5" customHeight="1" x14ac:dyDescent="0.2">
      <c r="A52" s="9">
        <v>20209</v>
      </c>
      <c r="B52" s="6" t="s">
        <v>235</v>
      </c>
      <c r="C52" s="8" t="s">
        <v>68</v>
      </c>
      <c r="D52" s="8" t="s">
        <v>69</v>
      </c>
      <c r="E52" s="223">
        <v>1</v>
      </c>
      <c r="F52" s="137"/>
      <c r="G52" s="10"/>
    </row>
    <row r="53" spans="1:25" ht="25.5" customHeight="1" thickBot="1" x14ac:dyDescent="0.25">
      <c r="A53" s="11">
        <v>88239</v>
      </c>
      <c r="B53" s="12" t="s">
        <v>71</v>
      </c>
      <c r="C53" s="13" t="s">
        <v>65</v>
      </c>
      <c r="D53" s="13" t="s">
        <v>66</v>
      </c>
      <c r="E53" s="14">
        <v>0.1</v>
      </c>
      <c r="F53" s="138"/>
      <c r="G53" s="220"/>
    </row>
    <row r="55" spans="1:25" hidden="1" x14ac:dyDescent="0.2"/>
    <row r="56" spans="1:25" hidden="1" x14ac:dyDescent="0.2"/>
    <row r="57" spans="1:25" ht="13.5" thickBot="1" x14ac:dyDescent="0.25"/>
    <row r="58" spans="1:25" s="307" customFormat="1" ht="23.1" customHeight="1" thickBot="1" x14ac:dyDescent="0.25">
      <c r="B58" s="629" t="s">
        <v>87</v>
      </c>
      <c r="C58" s="630"/>
      <c r="D58" s="630"/>
      <c r="E58" s="630"/>
      <c r="F58" s="630"/>
      <c r="G58" s="631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x14ac:dyDescent="0.2">
      <c r="B59" s="115" t="s">
        <v>26</v>
      </c>
      <c r="C59" s="116" t="s">
        <v>79</v>
      </c>
      <c r="D59" s="116" t="s">
        <v>57</v>
      </c>
      <c r="E59" s="117" t="s">
        <v>81</v>
      </c>
      <c r="F59" s="119"/>
      <c r="G59" s="118" t="s">
        <v>61</v>
      </c>
    </row>
    <row r="60" spans="1:25" x14ac:dyDescent="0.2">
      <c r="B60" s="79" t="s">
        <v>616</v>
      </c>
      <c r="C60" s="17">
        <v>1.8</v>
      </c>
      <c r="D60" s="17"/>
      <c r="E60" s="21">
        <v>3</v>
      </c>
      <c r="F60" s="21"/>
      <c r="G60" s="19">
        <f>C60*(E60+F60)</f>
        <v>5.4</v>
      </c>
    </row>
    <row r="61" spans="1:25" x14ac:dyDescent="0.2">
      <c r="B61" s="79" t="s">
        <v>615</v>
      </c>
      <c r="C61" s="17">
        <v>1.8</v>
      </c>
      <c r="D61" s="17"/>
      <c r="E61" s="21">
        <v>3</v>
      </c>
      <c r="F61" s="21"/>
      <c r="G61" s="19">
        <f>C61*(E61+F61)</f>
        <v>5.4</v>
      </c>
    </row>
    <row r="62" spans="1:25" x14ac:dyDescent="0.2">
      <c r="B62" s="20" t="s">
        <v>85</v>
      </c>
      <c r="C62" s="17">
        <v>3</v>
      </c>
      <c r="D62" s="17"/>
      <c r="E62" s="21">
        <v>2</v>
      </c>
      <c r="F62" s="21"/>
      <c r="G62" s="19">
        <f>C62*(E62+F62)</f>
        <v>6</v>
      </c>
    </row>
    <row r="63" spans="1:25" ht="12" customHeight="1" x14ac:dyDescent="0.2">
      <c r="B63" s="79" t="s">
        <v>617</v>
      </c>
      <c r="C63" s="17">
        <v>3</v>
      </c>
      <c r="D63" s="17"/>
      <c r="E63" s="21">
        <v>2</v>
      </c>
      <c r="F63" s="21"/>
      <c r="G63" s="19">
        <f>C63*(E63+F63)</f>
        <v>6</v>
      </c>
    </row>
    <row r="64" spans="1:25" x14ac:dyDescent="0.2">
      <c r="B64" s="20"/>
      <c r="C64" s="17"/>
      <c r="D64" s="17"/>
      <c r="E64" s="21"/>
      <c r="F64" s="21"/>
      <c r="G64" s="19"/>
    </row>
    <row r="65" spans="1:25" ht="13.5" thickBot="1" x14ac:dyDescent="0.25">
      <c r="B65" s="702" t="s">
        <v>61</v>
      </c>
      <c r="C65" s="703"/>
      <c r="D65" s="703"/>
      <c r="E65" s="704"/>
      <c r="F65" s="22"/>
      <c r="G65" s="139">
        <f>SUM(G60:G63)</f>
        <v>22.8</v>
      </c>
    </row>
    <row r="66" spans="1:25" x14ac:dyDescent="0.2">
      <c r="B66" s="474"/>
      <c r="C66" s="65"/>
      <c r="D66" s="65"/>
      <c r="E66" s="65"/>
      <c r="F66" s="312"/>
      <c r="G66" s="61"/>
    </row>
    <row r="67" spans="1:25" x14ac:dyDescent="0.2">
      <c r="B67" s="474"/>
      <c r="C67" s="65"/>
      <c r="D67" s="65"/>
      <c r="E67" s="65"/>
      <c r="F67" s="312"/>
      <c r="G67" s="61"/>
    </row>
    <row r="68" spans="1:25" s="312" customFormat="1" ht="33" customHeight="1" thickBot="1" x14ac:dyDescent="0.25">
      <c r="A68" s="313" t="s">
        <v>808</v>
      </c>
      <c r="B68" s="314"/>
      <c r="C68" s="314"/>
      <c r="D68" s="314"/>
      <c r="E68" s="314"/>
      <c r="F68" s="314"/>
      <c r="G68" s="314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s="307" customFormat="1" ht="23.1" customHeight="1" x14ac:dyDescent="0.2">
      <c r="A69" s="705" t="s">
        <v>809</v>
      </c>
      <c r="B69" s="706"/>
      <c r="C69" s="706"/>
      <c r="D69" s="706"/>
      <c r="E69" s="706"/>
      <c r="F69" s="706"/>
      <c r="G69" s="707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ht="25.5" customHeight="1" x14ac:dyDescent="0.2">
      <c r="A70" s="112" t="s">
        <v>733</v>
      </c>
      <c r="B70" s="113" t="s">
        <v>806</v>
      </c>
      <c r="C70" s="476" t="s">
        <v>64</v>
      </c>
      <c r="D70" s="476" t="s">
        <v>23</v>
      </c>
      <c r="E70" s="477" t="s">
        <v>805</v>
      </c>
      <c r="F70" s="477" t="s">
        <v>804</v>
      </c>
      <c r="G70" s="478">
        <f>SUM(G71:G75)</f>
        <v>0</v>
      </c>
    </row>
    <row r="71" spans="1:25" ht="25.5" customHeight="1" x14ac:dyDescent="0.2">
      <c r="A71" s="9">
        <v>88262</v>
      </c>
      <c r="B71" s="6" t="s">
        <v>72</v>
      </c>
      <c r="C71" s="8" t="s">
        <v>65</v>
      </c>
      <c r="D71" s="8" t="s">
        <v>66</v>
      </c>
      <c r="E71" s="7">
        <v>0.1</v>
      </c>
      <c r="F71" s="137"/>
      <c r="G71" s="10"/>
    </row>
    <row r="72" spans="1:25" ht="25.5" customHeight="1" x14ac:dyDescent="0.2">
      <c r="A72" s="9">
        <v>10933</v>
      </c>
      <c r="B72" s="6" t="s">
        <v>803</v>
      </c>
      <c r="C72" s="8" t="s">
        <v>365</v>
      </c>
      <c r="D72" s="8" t="s">
        <v>23</v>
      </c>
      <c r="E72" s="7">
        <v>1</v>
      </c>
      <c r="F72" s="137"/>
      <c r="G72" s="10"/>
    </row>
    <row r="73" spans="1:25" ht="39" customHeight="1" x14ac:dyDescent="0.2">
      <c r="A73" s="9">
        <v>4460</v>
      </c>
      <c r="B73" s="6" t="s">
        <v>392</v>
      </c>
      <c r="C73" s="8" t="s">
        <v>365</v>
      </c>
      <c r="D73" s="8" t="s">
        <v>24</v>
      </c>
      <c r="E73" s="7">
        <v>3</v>
      </c>
      <c r="F73" s="137"/>
      <c r="G73" s="10"/>
    </row>
    <row r="74" spans="1:25" ht="25.5" customHeight="1" x14ac:dyDescent="0.2">
      <c r="A74" s="9">
        <v>4299</v>
      </c>
      <c r="B74" s="475" t="s">
        <v>810</v>
      </c>
      <c r="C74" s="8" t="s">
        <v>365</v>
      </c>
      <c r="D74" s="479" t="s">
        <v>145</v>
      </c>
      <c r="E74" s="223">
        <v>6</v>
      </c>
      <c r="F74" s="137"/>
      <c r="G74" s="10"/>
    </row>
    <row r="75" spans="1:25" ht="25.5" customHeight="1" thickBot="1" x14ac:dyDescent="0.25">
      <c r="A75" s="11">
        <v>88239</v>
      </c>
      <c r="B75" s="12" t="s">
        <v>71</v>
      </c>
      <c r="C75" s="13" t="s">
        <v>65</v>
      </c>
      <c r="D75" s="13" t="s">
        <v>66</v>
      </c>
      <c r="E75" s="14">
        <v>0.1</v>
      </c>
      <c r="F75" s="138"/>
      <c r="G75" s="220"/>
    </row>
    <row r="77" spans="1:25" ht="13.5" thickBot="1" x14ac:dyDescent="0.25"/>
    <row r="78" spans="1:25" s="307" customFormat="1" ht="23.1" customHeight="1" thickBot="1" x14ac:dyDescent="0.25">
      <c r="B78" s="629" t="s">
        <v>157</v>
      </c>
      <c r="C78" s="630"/>
      <c r="D78" s="630"/>
      <c r="E78" s="630"/>
      <c r="F78" s="630"/>
      <c r="G78" s="631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x14ac:dyDescent="0.2">
      <c r="B79" s="115" t="s">
        <v>1</v>
      </c>
      <c r="C79" s="116" t="s">
        <v>94</v>
      </c>
      <c r="D79" s="116" t="s">
        <v>79</v>
      </c>
      <c r="E79" s="117" t="s">
        <v>159</v>
      </c>
      <c r="F79" s="119"/>
      <c r="G79" s="118" t="s">
        <v>130</v>
      </c>
    </row>
    <row r="80" spans="1:25" x14ac:dyDescent="0.2">
      <c r="B80" s="20" t="s">
        <v>158</v>
      </c>
      <c r="C80" s="17">
        <f>F21</f>
        <v>180</v>
      </c>
      <c r="D80" s="17">
        <v>0.35</v>
      </c>
      <c r="E80" s="21">
        <v>2</v>
      </c>
      <c r="F80" s="21"/>
      <c r="G80" s="39">
        <f>C80*D80*E80</f>
        <v>125.99999999999999</v>
      </c>
    </row>
    <row r="81" spans="1:9" x14ac:dyDescent="0.2">
      <c r="B81" s="79" t="s">
        <v>618</v>
      </c>
      <c r="C81" s="17">
        <f>G43</f>
        <v>70.2</v>
      </c>
      <c r="D81" s="17">
        <f>0.06+0.16</f>
        <v>0.22</v>
      </c>
      <c r="E81" s="21">
        <v>2</v>
      </c>
      <c r="F81" s="21"/>
      <c r="G81" s="39">
        <f>C81*D81*E81</f>
        <v>30.888000000000002</v>
      </c>
    </row>
    <row r="82" spans="1:9" x14ac:dyDescent="0.2">
      <c r="B82" s="20" t="s">
        <v>160</v>
      </c>
      <c r="C82" s="17">
        <f>G65</f>
        <v>22.8</v>
      </c>
      <c r="D82" s="17">
        <f>0.06+0.08</f>
        <v>0.14000000000000001</v>
      </c>
      <c r="E82" s="21">
        <v>2</v>
      </c>
      <c r="F82" s="21"/>
      <c r="G82" s="39">
        <f>C82*D82*E82</f>
        <v>6.3840000000000012</v>
      </c>
    </row>
    <row r="83" spans="1:9" x14ac:dyDescent="0.2">
      <c r="B83" s="79" t="s">
        <v>807</v>
      </c>
      <c r="C83" s="17">
        <f>10+4.8+7.5</f>
        <v>22.3</v>
      </c>
      <c r="D83" s="17">
        <v>0.1</v>
      </c>
      <c r="E83" s="21">
        <v>2</v>
      </c>
      <c r="F83" s="21"/>
      <c r="G83" s="39">
        <f t="shared" ref="G83" si="0">C83*D83*E83</f>
        <v>4.46</v>
      </c>
    </row>
    <row r="84" spans="1:9" ht="13.5" thickBot="1" x14ac:dyDescent="0.25">
      <c r="B84" s="702" t="s">
        <v>61</v>
      </c>
      <c r="C84" s="703"/>
      <c r="D84" s="703"/>
      <c r="E84" s="704"/>
      <c r="F84" s="22"/>
      <c r="G84" s="140">
        <f>SUM(G80:G83)</f>
        <v>167.732</v>
      </c>
    </row>
    <row r="86" spans="1:9" x14ac:dyDescent="0.2">
      <c r="A86" s="36"/>
      <c r="B86" s="36"/>
      <c r="C86" s="36"/>
      <c r="D86" s="36"/>
      <c r="E86" s="36"/>
      <c r="F86" s="36"/>
      <c r="G86" s="36"/>
      <c r="H86" s="36"/>
      <c r="I86" s="36"/>
    </row>
    <row r="88" spans="1:9" x14ac:dyDescent="0.2">
      <c r="A88" s="614"/>
      <c r="B88" s="614"/>
      <c r="C88" s="614"/>
      <c r="D88" s="614"/>
      <c r="E88" s="614"/>
      <c r="F88" s="614"/>
      <c r="G88" s="614"/>
    </row>
  </sheetData>
  <mergeCells count="21">
    <mergeCell ref="A88:G88"/>
    <mergeCell ref="B84:E84"/>
    <mergeCell ref="A27:G27"/>
    <mergeCell ref="A49:G49"/>
    <mergeCell ref="A6:G6"/>
    <mergeCell ref="B13:F13"/>
    <mergeCell ref="B21:E21"/>
    <mergeCell ref="B43:E43"/>
    <mergeCell ref="B36:G36"/>
    <mergeCell ref="B58:G58"/>
    <mergeCell ref="B65:E65"/>
    <mergeCell ref="B78:G78"/>
    <mergeCell ref="A69:G69"/>
    <mergeCell ref="F1:G1"/>
    <mergeCell ref="F2:G2"/>
    <mergeCell ref="F3:G3"/>
    <mergeCell ref="A4:G4"/>
    <mergeCell ref="A1:A3"/>
    <mergeCell ref="B1:E1"/>
    <mergeCell ref="B2:E2"/>
    <mergeCell ref="B3:E3"/>
  </mergeCells>
  <printOptions horizontalCentered="1"/>
  <pageMargins left="0.39370078740157483" right="0.39370078740157483" top="0.39370078740157483" bottom="0.39370078740157483" header="0" footer="0"/>
  <pageSetup paperSize="9" scale="95" orientation="portrait" r:id="rId1"/>
  <rowBreaks count="1" manualBreakCount="1">
    <brk id="4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20"/>
  <sheetViews>
    <sheetView showGridLines="0" view="pageBreakPreview" topLeftCell="A130" zoomScaleNormal="100" zoomScaleSheetLayoutView="100" workbookViewId="0">
      <selection activeCell="M3" sqref="M3"/>
    </sheetView>
  </sheetViews>
  <sheetFormatPr defaultRowHeight="12.75" x14ac:dyDescent="0.2"/>
  <cols>
    <col min="1" max="1" width="14.85546875" style="307" bestFit="1" customWidth="1"/>
    <col min="2" max="2" width="65.140625" style="307" customWidth="1"/>
    <col min="3" max="3" width="10" style="73" bestFit="1" customWidth="1"/>
    <col min="4" max="4" width="11.42578125" style="73" customWidth="1"/>
    <col min="5" max="5" width="11" style="307" customWidth="1"/>
    <col min="6" max="6" width="10.85546875" style="307" bestFit="1" customWidth="1"/>
    <col min="7" max="7" width="11" style="307" customWidth="1"/>
    <col min="8" max="9" width="9.140625" style="307"/>
    <col min="10" max="10" width="11" bestFit="1" customWidth="1"/>
    <col min="11" max="11" width="10.5703125" bestFit="1" customWidth="1"/>
    <col min="12" max="12" width="10.42578125" bestFit="1" customWidth="1"/>
    <col min="13" max="13" width="10.5703125" bestFit="1" customWidth="1"/>
    <col min="14" max="14" width="8.28515625" bestFit="1" customWidth="1"/>
    <col min="15" max="15" width="10.5703125" bestFit="1" customWidth="1"/>
    <col min="16" max="16" width="17.5703125" bestFit="1" customWidth="1"/>
    <col min="17" max="17" width="13.28515625" bestFit="1" customWidth="1"/>
    <col min="18" max="18" width="9" hidden="1" customWidth="1"/>
    <col min="20" max="16384" width="9.140625" style="307"/>
  </cols>
  <sheetData>
    <row r="1" spans="1:19" ht="18.75" customHeight="1" x14ac:dyDescent="0.2">
      <c r="A1" s="699"/>
      <c r="B1" s="552" t="s">
        <v>747</v>
      </c>
      <c r="C1" s="553"/>
      <c r="D1" s="553"/>
      <c r="E1" s="554"/>
      <c r="F1" s="546" t="s">
        <v>748</v>
      </c>
      <c r="G1" s="547"/>
    </row>
    <row r="2" spans="1:19" ht="18.75" customHeight="1" x14ac:dyDescent="0.2">
      <c r="A2" s="700"/>
      <c r="B2" s="555" t="s">
        <v>749</v>
      </c>
      <c r="C2" s="556"/>
      <c r="D2" s="556"/>
      <c r="E2" s="557"/>
      <c r="F2" s="559">
        <f ca="1">NOW()</f>
        <v>43761.736742476853</v>
      </c>
      <c r="G2" s="560"/>
    </row>
    <row r="3" spans="1:19" ht="18.75" customHeight="1" thickBot="1" x14ac:dyDescent="0.25">
      <c r="A3" s="701"/>
      <c r="B3" s="550" t="s">
        <v>750</v>
      </c>
      <c r="C3" s="558"/>
      <c r="D3" s="558"/>
      <c r="E3" s="551"/>
      <c r="F3" s="513" t="s">
        <v>513</v>
      </c>
      <c r="G3" s="514"/>
    </row>
    <row r="4" spans="1:19" ht="33" customHeight="1" thickBot="1" x14ac:dyDescent="0.25">
      <c r="A4" s="696" t="s">
        <v>268</v>
      </c>
      <c r="B4" s="697"/>
      <c r="C4" s="697"/>
      <c r="D4" s="697"/>
      <c r="E4" s="697"/>
      <c r="F4" s="697"/>
      <c r="G4" s="698"/>
    </row>
    <row r="5" spans="1:19" ht="13.5" thickBot="1" x14ac:dyDescent="0.25">
      <c r="A5" s="315"/>
      <c r="B5" s="203" t="s">
        <v>531</v>
      </c>
      <c r="C5" s="316"/>
      <c r="D5" s="316"/>
      <c r="E5" s="317"/>
      <c r="F5" s="317"/>
      <c r="G5" s="318"/>
    </row>
    <row r="6" spans="1:19" s="73" customFormat="1" ht="25.5" customHeight="1" x14ac:dyDescent="0.2">
      <c r="A6" s="199" t="s">
        <v>58</v>
      </c>
      <c r="B6" s="199" t="s">
        <v>22</v>
      </c>
      <c r="C6" s="199" t="s">
        <v>146</v>
      </c>
      <c r="D6" s="199" t="s">
        <v>62</v>
      </c>
      <c r="E6" s="199" t="s">
        <v>147</v>
      </c>
      <c r="F6" s="199" t="s">
        <v>148</v>
      </c>
      <c r="G6" s="319" t="s">
        <v>149</v>
      </c>
      <c r="J6"/>
      <c r="K6"/>
      <c r="L6"/>
      <c r="M6"/>
      <c r="N6"/>
      <c r="O6"/>
      <c r="P6"/>
      <c r="Q6"/>
      <c r="R6"/>
      <c r="S6"/>
    </row>
    <row r="7" spans="1:19" ht="25.5" customHeight="1" x14ac:dyDescent="0.2">
      <c r="A7" s="320" t="s">
        <v>531</v>
      </c>
      <c r="B7" s="321" t="str">
        <f>'B1- ORÇAMENTO - PEV'!C19</f>
        <v>LIGAÇÃO PROVISÓRIA DE ÁGUA PARA OBRA, INSTALAÇÃO SANITÁRIA PROVI, PEQ. OBRAS - INSTALAÇÃO MÍNIMA</v>
      </c>
      <c r="C7" s="322" t="s">
        <v>64</v>
      </c>
      <c r="D7" s="322" t="s">
        <v>24</v>
      </c>
      <c r="E7" s="323"/>
      <c r="F7" s="324"/>
      <c r="G7" s="325"/>
    </row>
    <row r="8" spans="1:19" x14ac:dyDescent="0.2">
      <c r="A8" s="326">
        <v>88262</v>
      </c>
      <c r="B8" s="327" t="s">
        <v>384</v>
      </c>
      <c r="C8" s="328" t="s">
        <v>65</v>
      </c>
      <c r="D8" s="328" t="s">
        <v>66</v>
      </c>
      <c r="E8" s="329">
        <v>8</v>
      </c>
      <c r="F8" s="330"/>
      <c r="G8" s="331"/>
    </row>
    <row r="9" spans="1:19" ht="15.75" customHeight="1" x14ac:dyDescent="0.2">
      <c r="A9" s="332">
        <v>88267</v>
      </c>
      <c r="B9" s="333" t="s">
        <v>800</v>
      </c>
      <c r="C9" s="334" t="s">
        <v>65</v>
      </c>
      <c r="D9" s="334" t="s">
        <v>66</v>
      </c>
      <c r="E9" s="335">
        <v>8</v>
      </c>
      <c r="F9" s="336"/>
      <c r="G9" s="331"/>
    </row>
    <row r="10" spans="1:19" ht="25.5" x14ac:dyDescent="0.2">
      <c r="A10" s="332">
        <v>370</v>
      </c>
      <c r="B10" s="333" t="s">
        <v>385</v>
      </c>
      <c r="C10" s="334" t="s">
        <v>68</v>
      </c>
      <c r="D10" s="334" t="s">
        <v>181</v>
      </c>
      <c r="E10" s="335">
        <v>0.02</v>
      </c>
      <c r="F10" s="336"/>
      <c r="G10" s="331"/>
    </row>
    <row r="11" spans="1:19" ht="25.5" x14ac:dyDescent="0.2">
      <c r="A11" s="332">
        <v>4491</v>
      </c>
      <c r="B11" s="333" t="s">
        <v>524</v>
      </c>
      <c r="C11" s="334" t="s">
        <v>68</v>
      </c>
      <c r="D11" s="334" t="s">
        <v>69</v>
      </c>
      <c r="E11" s="335">
        <v>25</v>
      </c>
      <c r="F11" s="336"/>
      <c r="G11" s="331"/>
    </row>
    <row r="12" spans="1:19" ht="25.5" x14ac:dyDescent="0.2">
      <c r="A12" s="332">
        <v>88248</v>
      </c>
      <c r="B12" s="333" t="s">
        <v>386</v>
      </c>
      <c r="C12" s="334" t="s">
        <v>65</v>
      </c>
      <c r="D12" s="334" t="s">
        <v>66</v>
      </c>
      <c r="E12" s="335">
        <v>4</v>
      </c>
      <c r="F12" s="336"/>
      <c r="G12" s="331"/>
    </row>
    <row r="13" spans="1:19" ht="25.5" x14ac:dyDescent="0.2">
      <c r="A13" s="332">
        <v>6212</v>
      </c>
      <c r="B13" s="333" t="s">
        <v>525</v>
      </c>
      <c r="C13" s="334" t="s">
        <v>68</v>
      </c>
      <c r="D13" s="334" t="s">
        <v>69</v>
      </c>
      <c r="E13" s="335">
        <v>8</v>
      </c>
      <c r="F13" s="336"/>
      <c r="G13" s="331"/>
    </row>
    <row r="14" spans="1:19" s="308" customFormat="1" ht="27.75" customHeight="1" thickBot="1" x14ac:dyDescent="0.25">
      <c r="A14" s="337">
        <v>89356</v>
      </c>
      <c r="B14" s="338" t="s">
        <v>344</v>
      </c>
      <c r="C14" s="339" t="s">
        <v>182</v>
      </c>
      <c r="D14" s="339" t="s">
        <v>69</v>
      </c>
      <c r="E14" s="340">
        <v>20</v>
      </c>
      <c r="F14" s="341"/>
      <c r="G14" s="342"/>
      <c r="J14"/>
      <c r="K14"/>
      <c r="L14"/>
      <c r="M14"/>
      <c r="N14"/>
      <c r="O14"/>
      <c r="P14"/>
      <c r="Q14"/>
      <c r="R14"/>
      <c r="S14"/>
    </row>
    <row r="15" spans="1:19" ht="13.5" thickBot="1" x14ac:dyDescent="0.25">
      <c r="A15" s="343"/>
      <c r="B15" s="203" t="s">
        <v>173</v>
      </c>
      <c r="C15" s="316"/>
      <c r="D15" s="316"/>
      <c r="E15" s="317"/>
      <c r="F15" s="317"/>
      <c r="G15" s="318"/>
    </row>
    <row r="16" spans="1:19" s="73" customFormat="1" ht="25.5" customHeight="1" x14ac:dyDescent="0.2">
      <c r="A16" s="199" t="s">
        <v>58</v>
      </c>
      <c r="B16" s="199" t="s">
        <v>22</v>
      </c>
      <c r="C16" s="199" t="s">
        <v>146</v>
      </c>
      <c r="D16" s="199" t="s">
        <v>62</v>
      </c>
      <c r="E16" s="199" t="s">
        <v>147</v>
      </c>
      <c r="F16" s="199" t="s">
        <v>148</v>
      </c>
      <c r="G16" s="319" t="s">
        <v>149</v>
      </c>
      <c r="J16"/>
      <c r="K16"/>
      <c r="L16"/>
      <c r="M16"/>
      <c r="N16"/>
      <c r="O16"/>
      <c r="P16"/>
      <c r="Q16"/>
      <c r="R16"/>
      <c r="S16"/>
    </row>
    <row r="17" spans="1:19" x14ac:dyDescent="0.2">
      <c r="A17" s="344" t="s">
        <v>173</v>
      </c>
      <c r="B17" s="345" t="s">
        <v>233</v>
      </c>
      <c r="C17" s="346"/>
      <c r="D17" s="346" t="s">
        <v>23</v>
      </c>
      <c r="E17" s="347">
        <v>1</v>
      </c>
      <c r="F17" s="324"/>
      <c r="G17" s="348"/>
    </row>
    <row r="18" spans="1:19" x14ac:dyDescent="0.2">
      <c r="A18" s="347">
        <v>88316</v>
      </c>
      <c r="B18" s="347" t="s">
        <v>307</v>
      </c>
      <c r="C18" s="290" t="s">
        <v>741</v>
      </c>
      <c r="D18" s="349" t="s">
        <v>253</v>
      </c>
      <c r="E18" s="347">
        <v>0.14000000000000001</v>
      </c>
      <c r="F18" s="350"/>
      <c r="G18" s="351"/>
    </row>
    <row r="19" spans="1:19" x14ac:dyDescent="0.2">
      <c r="A19" s="347">
        <v>3</v>
      </c>
      <c r="B19" s="347" t="s">
        <v>521</v>
      </c>
      <c r="C19" s="290" t="s">
        <v>365</v>
      </c>
      <c r="D19" s="349" t="s">
        <v>156</v>
      </c>
      <c r="E19" s="347">
        <v>0.05</v>
      </c>
      <c r="F19" s="350"/>
      <c r="G19" s="351"/>
    </row>
    <row r="20" spans="1:19" ht="13.5" thickBot="1" x14ac:dyDescent="0.25">
      <c r="A20" s="204"/>
      <c r="B20" s="205" t="s">
        <v>371</v>
      </c>
      <c r="C20" s="206"/>
      <c r="D20" s="206"/>
      <c r="E20" s="205"/>
      <c r="F20" s="205"/>
      <c r="G20" s="207"/>
    </row>
    <row r="21" spans="1:19" s="73" customFormat="1" ht="25.5" customHeight="1" x14ac:dyDescent="0.2">
      <c r="A21" s="199" t="s">
        <v>58</v>
      </c>
      <c r="B21" s="199" t="s">
        <v>22</v>
      </c>
      <c r="C21" s="199" t="s">
        <v>146</v>
      </c>
      <c r="D21" s="199" t="s">
        <v>62</v>
      </c>
      <c r="E21" s="199" t="s">
        <v>147</v>
      </c>
      <c r="F21" s="199" t="s">
        <v>148</v>
      </c>
      <c r="G21" s="319" t="s">
        <v>149</v>
      </c>
      <c r="J21"/>
      <c r="K21"/>
      <c r="L21"/>
      <c r="M21"/>
      <c r="N21"/>
      <c r="O21"/>
      <c r="P21"/>
      <c r="Q21"/>
      <c r="R21"/>
      <c r="S21"/>
    </row>
    <row r="22" spans="1:19" x14ac:dyDescent="0.2">
      <c r="A22" s="344" t="s">
        <v>371</v>
      </c>
      <c r="B22" s="345" t="s">
        <v>599</v>
      </c>
      <c r="C22" s="77"/>
      <c r="D22" s="352" t="s">
        <v>598</v>
      </c>
      <c r="E22" s="347"/>
      <c r="F22" s="351"/>
      <c r="G22" s="348"/>
    </row>
    <row r="23" spans="1:19" x14ac:dyDescent="0.2">
      <c r="A23" s="353" t="s">
        <v>600</v>
      </c>
      <c r="B23" s="353" t="s">
        <v>599</v>
      </c>
      <c r="C23" s="77"/>
      <c r="D23" s="354"/>
      <c r="E23" s="347">
        <v>1</v>
      </c>
      <c r="F23" s="350"/>
      <c r="G23" s="351"/>
    </row>
    <row r="24" spans="1:19" ht="13.5" thickBot="1" x14ac:dyDescent="0.25">
      <c r="A24" s="355"/>
      <c r="B24" s="208" t="s">
        <v>179</v>
      </c>
      <c r="C24" s="356"/>
      <c r="D24" s="356"/>
      <c r="E24" s="357"/>
      <c r="F24" s="357"/>
      <c r="G24" s="358"/>
    </row>
    <row r="25" spans="1:19" s="73" customFormat="1" ht="25.5" customHeight="1" x14ac:dyDescent="0.2">
      <c r="A25" s="199" t="s">
        <v>58</v>
      </c>
      <c r="B25" s="199" t="s">
        <v>22</v>
      </c>
      <c r="C25" s="199" t="s">
        <v>146</v>
      </c>
      <c r="D25" s="199" t="s">
        <v>62</v>
      </c>
      <c r="E25" s="199" t="s">
        <v>147</v>
      </c>
      <c r="F25" s="199" t="s">
        <v>148</v>
      </c>
      <c r="G25" s="319" t="s">
        <v>149</v>
      </c>
      <c r="J25"/>
      <c r="K25"/>
      <c r="L25"/>
      <c r="M25"/>
      <c r="N25"/>
      <c r="O25"/>
      <c r="P25"/>
      <c r="Q25"/>
      <c r="R25"/>
      <c r="S25"/>
    </row>
    <row r="26" spans="1:19" ht="38.25" x14ac:dyDescent="0.2">
      <c r="A26" s="320" t="s">
        <v>179</v>
      </c>
      <c r="B26" s="321" t="s">
        <v>527</v>
      </c>
      <c r="C26" s="359" t="s">
        <v>64</v>
      </c>
      <c r="D26" s="359" t="s">
        <v>24</v>
      </c>
      <c r="E26" s="323"/>
      <c r="F26" s="360"/>
      <c r="G26" s="361"/>
    </row>
    <row r="27" spans="1:19" ht="25.5" x14ac:dyDescent="0.2">
      <c r="A27" s="362">
        <v>10927</v>
      </c>
      <c r="B27" s="363" t="s">
        <v>376</v>
      </c>
      <c r="C27" s="334" t="s">
        <v>68</v>
      </c>
      <c r="D27" s="334" t="s">
        <v>60</v>
      </c>
      <c r="E27" s="323">
        <v>2</v>
      </c>
      <c r="F27" s="336"/>
      <c r="G27" s="364"/>
    </row>
    <row r="28" spans="1:19" ht="15" customHeight="1" x14ac:dyDescent="0.2">
      <c r="A28" s="362">
        <v>340</v>
      </c>
      <c r="B28" s="363" t="s">
        <v>528</v>
      </c>
      <c r="C28" s="334" t="s">
        <v>68</v>
      </c>
      <c r="D28" s="334" t="s">
        <v>24</v>
      </c>
      <c r="E28" s="323">
        <v>12.1</v>
      </c>
      <c r="F28" s="336"/>
      <c r="G28" s="364"/>
    </row>
    <row r="29" spans="1:19" x14ac:dyDescent="0.2">
      <c r="A29" s="362">
        <v>345</v>
      </c>
      <c r="B29" s="333" t="s">
        <v>372</v>
      </c>
      <c r="C29" s="334" t="s">
        <v>68</v>
      </c>
      <c r="D29" s="334" t="s">
        <v>144</v>
      </c>
      <c r="E29" s="365">
        <v>0.11</v>
      </c>
      <c r="F29" s="336"/>
      <c r="G29" s="364"/>
    </row>
    <row r="30" spans="1:19" x14ac:dyDescent="0.2">
      <c r="A30" s="362">
        <v>4111</v>
      </c>
      <c r="B30" s="333" t="s">
        <v>373</v>
      </c>
      <c r="C30" s="334" t="s">
        <v>68</v>
      </c>
      <c r="D30" s="334" t="s">
        <v>145</v>
      </c>
      <c r="E30" s="365">
        <v>0.08</v>
      </c>
      <c r="F30" s="336"/>
      <c r="G30" s="364"/>
    </row>
    <row r="31" spans="1:19" ht="25.5" x14ac:dyDescent="0.2">
      <c r="A31" s="362">
        <v>4114</v>
      </c>
      <c r="B31" s="333" t="s">
        <v>374</v>
      </c>
      <c r="C31" s="334" t="s">
        <v>68</v>
      </c>
      <c r="D31" s="334" t="s">
        <v>145</v>
      </c>
      <c r="E31" s="335">
        <v>0.4</v>
      </c>
      <c r="F31" s="336"/>
      <c r="G31" s="364"/>
    </row>
    <row r="32" spans="1:19" x14ac:dyDescent="0.2">
      <c r="A32" s="362">
        <v>88309</v>
      </c>
      <c r="B32" s="333" t="s">
        <v>306</v>
      </c>
      <c r="C32" s="334" t="s">
        <v>65</v>
      </c>
      <c r="D32" s="334" t="s">
        <v>66</v>
      </c>
      <c r="E32" s="335">
        <v>0.3</v>
      </c>
      <c r="F32" s="336"/>
      <c r="G32" s="364"/>
    </row>
    <row r="33" spans="1:19" x14ac:dyDescent="0.2">
      <c r="A33" s="366">
        <v>88316</v>
      </c>
      <c r="B33" s="333" t="s">
        <v>307</v>
      </c>
      <c r="C33" s="334" t="s">
        <v>65</v>
      </c>
      <c r="D33" s="334" t="s">
        <v>66</v>
      </c>
      <c r="E33" s="335">
        <v>0.6</v>
      </c>
      <c r="F33" s="336"/>
      <c r="G33" s="364"/>
    </row>
    <row r="34" spans="1:19" ht="27" customHeight="1" x14ac:dyDescent="0.2">
      <c r="A34" s="362">
        <v>94962</v>
      </c>
      <c r="B34" s="333" t="s">
        <v>799</v>
      </c>
      <c r="C34" s="334" t="s">
        <v>68</v>
      </c>
      <c r="D34" s="334" t="s">
        <v>55</v>
      </c>
      <c r="E34" s="323">
        <v>0.04</v>
      </c>
      <c r="F34" s="336"/>
      <c r="G34" s="364"/>
    </row>
    <row r="35" spans="1:19" x14ac:dyDescent="0.2">
      <c r="A35" s="362">
        <v>6085</v>
      </c>
      <c r="B35" s="333" t="s">
        <v>596</v>
      </c>
      <c r="C35" s="334" t="s">
        <v>68</v>
      </c>
      <c r="D35" s="334" t="s">
        <v>156</v>
      </c>
      <c r="E35" s="323">
        <v>0.16</v>
      </c>
      <c r="F35" s="336"/>
      <c r="G35" s="364"/>
    </row>
    <row r="36" spans="1:19" ht="13.5" thickBot="1" x14ac:dyDescent="0.25">
      <c r="A36" s="367">
        <v>7345</v>
      </c>
      <c r="B36" s="368" t="s">
        <v>375</v>
      </c>
      <c r="C36" s="369" t="s">
        <v>68</v>
      </c>
      <c r="D36" s="369" t="s">
        <v>156</v>
      </c>
      <c r="E36" s="370">
        <v>0.33</v>
      </c>
      <c r="F36" s="371"/>
      <c r="G36" s="372"/>
    </row>
    <row r="37" spans="1:19" ht="13.5" thickBot="1" x14ac:dyDescent="0.25">
      <c r="A37" s="343"/>
      <c r="B37" s="203" t="s">
        <v>180</v>
      </c>
      <c r="C37" s="316"/>
      <c r="D37" s="316"/>
      <c r="E37" s="317"/>
      <c r="F37" s="317"/>
      <c r="G37" s="318"/>
    </row>
    <row r="38" spans="1:19" s="73" customFormat="1" ht="25.5" customHeight="1" x14ac:dyDescent="0.2">
      <c r="A38" s="199" t="s">
        <v>58</v>
      </c>
      <c r="B38" s="199" t="s">
        <v>22</v>
      </c>
      <c r="C38" s="199" t="s">
        <v>146</v>
      </c>
      <c r="D38" s="199" t="s">
        <v>62</v>
      </c>
      <c r="E38" s="199" t="s">
        <v>147</v>
      </c>
      <c r="F38" s="199" t="s">
        <v>148</v>
      </c>
      <c r="G38" s="319" t="s">
        <v>149</v>
      </c>
      <c r="J38"/>
      <c r="K38"/>
      <c r="L38"/>
      <c r="M38"/>
      <c r="N38"/>
      <c r="O38"/>
      <c r="P38"/>
      <c r="Q38"/>
      <c r="R38"/>
      <c r="S38"/>
    </row>
    <row r="39" spans="1:19" ht="25.5" x14ac:dyDescent="0.2">
      <c r="A39" s="373" t="s">
        <v>180</v>
      </c>
      <c r="B39" s="374" t="str">
        <f>'B1- ORÇAMENTO - PEV'!C35</f>
        <v>PORTÃO METÁLICO EM TUBOS DE AÇO GALVANIZADO E TELA LOSANGULAR</v>
      </c>
      <c r="C39" s="359" t="s">
        <v>64</v>
      </c>
      <c r="D39" s="359" t="s">
        <v>519</v>
      </c>
      <c r="E39" s="323"/>
      <c r="F39" s="324"/>
      <c r="G39" s="325"/>
    </row>
    <row r="40" spans="1:19" ht="25.5" x14ac:dyDescent="0.2">
      <c r="A40" s="332">
        <v>10927</v>
      </c>
      <c r="B40" s="363" t="s">
        <v>376</v>
      </c>
      <c r="C40" s="334" t="s">
        <v>68</v>
      </c>
      <c r="D40" s="334" t="s">
        <v>60</v>
      </c>
      <c r="E40" s="323">
        <v>8.64</v>
      </c>
      <c r="F40" s="336"/>
      <c r="G40" s="364"/>
    </row>
    <row r="41" spans="1:19" x14ac:dyDescent="0.2">
      <c r="A41" s="332">
        <v>345</v>
      </c>
      <c r="B41" s="333" t="s">
        <v>372</v>
      </c>
      <c r="C41" s="334" t="s">
        <v>68</v>
      </c>
      <c r="D41" s="334" t="s">
        <v>144</v>
      </c>
      <c r="E41" s="323">
        <v>1.2</v>
      </c>
      <c r="F41" s="336"/>
      <c r="G41" s="364"/>
      <c r="H41" s="375"/>
    </row>
    <row r="42" spans="1:19" ht="25.5" x14ac:dyDescent="0.2">
      <c r="A42" s="332">
        <v>21015</v>
      </c>
      <c r="B42" s="333" t="s">
        <v>377</v>
      </c>
      <c r="C42" s="334" t="s">
        <v>68</v>
      </c>
      <c r="D42" s="334" t="s">
        <v>24</v>
      </c>
      <c r="E42" s="323">
        <v>18</v>
      </c>
      <c r="F42" s="336"/>
      <c r="G42" s="364"/>
    </row>
    <row r="43" spans="1:19" ht="25.5" x14ac:dyDescent="0.2">
      <c r="A43" s="332">
        <v>21012</v>
      </c>
      <c r="B43" s="333" t="s">
        <v>378</v>
      </c>
      <c r="C43" s="334" t="s">
        <v>68</v>
      </c>
      <c r="D43" s="334" t="s">
        <v>24</v>
      </c>
      <c r="E43" s="323">
        <v>24.4</v>
      </c>
      <c r="F43" s="336"/>
      <c r="G43" s="364"/>
    </row>
    <row r="44" spans="1:19" ht="27" customHeight="1" x14ac:dyDescent="0.2">
      <c r="A44" s="332">
        <v>94962</v>
      </c>
      <c r="B44" s="333" t="s">
        <v>766</v>
      </c>
      <c r="C44" s="334" t="s">
        <v>68</v>
      </c>
      <c r="D44" s="334" t="s">
        <v>55</v>
      </c>
      <c r="E44" s="323">
        <v>4.4800000000000006E-2</v>
      </c>
      <c r="F44" s="336"/>
      <c r="G44" s="364"/>
    </row>
    <row r="45" spans="1:19" x14ac:dyDescent="0.2">
      <c r="A45" s="332">
        <v>7307</v>
      </c>
      <c r="B45" s="333" t="s">
        <v>379</v>
      </c>
      <c r="C45" s="334" t="s">
        <v>68</v>
      </c>
      <c r="D45" s="334" t="s">
        <v>156</v>
      </c>
      <c r="E45" s="323">
        <v>2.2999999999999998</v>
      </c>
      <c r="F45" s="336"/>
      <c r="G45" s="364"/>
    </row>
    <row r="46" spans="1:19" x14ac:dyDescent="0.2">
      <c r="A46" s="332">
        <v>7292</v>
      </c>
      <c r="B46" s="333" t="s">
        <v>380</v>
      </c>
      <c r="C46" s="334" t="s">
        <v>68</v>
      </c>
      <c r="D46" s="334" t="s">
        <v>156</v>
      </c>
      <c r="E46" s="323">
        <v>2.1</v>
      </c>
      <c r="F46" s="336"/>
      <c r="G46" s="364"/>
    </row>
    <row r="47" spans="1:19" x14ac:dyDescent="0.2">
      <c r="A47" s="332">
        <v>88315</v>
      </c>
      <c r="B47" s="333" t="s">
        <v>381</v>
      </c>
      <c r="C47" s="334" t="s">
        <v>65</v>
      </c>
      <c r="D47" s="334" t="s">
        <v>66</v>
      </c>
      <c r="E47" s="323">
        <v>23.929732434782608</v>
      </c>
      <c r="F47" s="336"/>
      <c r="G47" s="364"/>
    </row>
    <row r="48" spans="1:19" ht="13.5" thickBot="1" x14ac:dyDescent="0.25">
      <c r="A48" s="332">
        <v>88251</v>
      </c>
      <c r="B48" s="338" t="s">
        <v>383</v>
      </c>
      <c r="C48" s="339" t="s">
        <v>65</v>
      </c>
      <c r="D48" s="339" t="s">
        <v>66</v>
      </c>
      <c r="E48" s="340">
        <v>21.168609461538463</v>
      </c>
      <c r="F48" s="341"/>
      <c r="G48" s="376"/>
    </row>
    <row r="49" spans="1:19" ht="13.5" thickBot="1" x14ac:dyDescent="0.25">
      <c r="A49" s="355"/>
      <c r="B49" s="208" t="s">
        <v>393</v>
      </c>
      <c r="C49" s="356"/>
      <c r="D49" s="356"/>
      <c r="E49" s="357"/>
      <c r="F49" s="357"/>
      <c r="G49" s="358"/>
    </row>
    <row r="50" spans="1:19" s="73" customFormat="1" ht="25.5" customHeight="1" x14ac:dyDescent="0.2">
      <c r="A50" s="199" t="s">
        <v>58</v>
      </c>
      <c r="B50" s="199" t="s">
        <v>22</v>
      </c>
      <c r="C50" s="199" t="s">
        <v>146</v>
      </c>
      <c r="D50" s="199" t="s">
        <v>62</v>
      </c>
      <c r="E50" s="199" t="s">
        <v>147</v>
      </c>
      <c r="F50" s="199" t="s">
        <v>148</v>
      </c>
      <c r="G50" s="319" t="s">
        <v>149</v>
      </c>
      <c r="J50"/>
      <c r="K50"/>
      <c r="L50"/>
      <c r="M50"/>
      <c r="N50"/>
      <c r="O50"/>
      <c r="P50"/>
      <c r="Q50"/>
      <c r="R50"/>
      <c r="S50"/>
    </row>
    <row r="51" spans="1:19" ht="25.5" x14ac:dyDescent="0.2">
      <c r="A51" s="320" t="s">
        <v>393</v>
      </c>
      <c r="B51" s="321" t="s">
        <v>382</v>
      </c>
      <c r="C51" s="322" t="s">
        <v>64</v>
      </c>
      <c r="D51" s="359" t="s">
        <v>519</v>
      </c>
      <c r="E51" s="323"/>
      <c r="F51" s="361"/>
      <c r="G51" s="325"/>
    </row>
    <row r="52" spans="1:19" ht="25.5" x14ac:dyDescent="0.2">
      <c r="A52" s="362">
        <v>10927</v>
      </c>
      <c r="B52" s="363" t="s">
        <v>376</v>
      </c>
      <c r="C52" s="377" t="s">
        <v>68</v>
      </c>
      <c r="D52" s="334" t="s">
        <v>60</v>
      </c>
      <c r="E52" s="323">
        <f>2*8.64/5</f>
        <v>3.4560000000000004</v>
      </c>
      <c r="F52" s="336"/>
      <c r="G52" s="378"/>
    </row>
    <row r="53" spans="1:19" x14ac:dyDescent="0.2">
      <c r="A53" s="362">
        <v>345</v>
      </c>
      <c r="B53" s="333" t="s">
        <v>372</v>
      </c>
      <c r="C53" s="377" t="s">
        <v>68</v>
      </c>
      <c r="D53" s="334" t="s">
        <v>144</v>
      </c>
      <c r="E53" s="323">
        <v>1.2</v>
      </c>
      <c r="F53" s="336"/>
      <c r="G53" s="378"/>
    </row>
    <row r="54" spans="1:19" ht="25.5" x14ac:dyDescent="0.2">
      <c r="A54" s="362">
        <v>21015</v>
      </c>
      <c r="B54" s="363" t="s">
        <v>377</v>
      </c>
      <c r="C54" s="379" t="s">
        <v>68</v>
      </c>
      <c r="D54" s="334" t="s">
        <v>24</v>
      </c>
      <c r="E54" s="323">
        <f>2*18/5</f>
        <v>7.2</v>
      </c>
      <c r="F54" s="336"/>
      <c r="G54" s="378"/>
    </row>
    <row r="55" spans="1:19" ht="25.5" x14ac:dyDescent="0.2">
      <c r="A55" s="362">
        <v>21012</v>
      </c>
      <c r="B55" s="363" t="s">
        <v>378</v>
      </c>
      <c r="C55" s="379" t="s">
        <v>68</v>
      </c>
      <c r="D55" s="334" t="s">
        <v>24</v>
      </c>
      <c r="E55" s="323">
        <f>2*24.4/5</f>
        <v>9.76</v>
      </c>
      <c r="F55" s="336"/>
      <c r="G55" s="378"/>
    </row>
    <row r="56" spans="1:19" ht="27.75" customHeight="1" x14ac:dyDescent="0.2">
      <c r="A56" s="332">
        <v>94962</v>
      </c>
      <c r="B56" s="363" t="s">
        <v>799</v>
      </c>
      <c r="C56" s="377" t="s">
        <v>68</v>
      </c>
      <c r="D56" s="334" t="s">
        <v>55</v>
      </c>
      <c r="E56" s="323">
        <v>4.4800000000000006E-2</v>
      </c>
      <c r="F56" s="336"/>
      <c r="G56" s="378"/>
    </row>
    <row r="57" spans="1:19" x14ac:dyDescent="0.2">
      <c r="A57" s="362">
        <v>7307</v>
      </c>
      <c r="B57" s="363" t="s">
        <v>379</v>
      </c>
      <c r="C57" s="377" t="s">
        <v>68</v>
      </c>
      <c r="D57" s="334" t="s">
        <v>156</v>
      </c>
      <c r="E57" s="323">
        <v>2.2999999999999998</v>
      </c>
      <c r="F57" s="336"/>
      <c r="G57" s="378"/>
    </row>
    <row r="58" spans="1:19" x14ac:dyDescent="0.2">
      <c r="A58" s="362">
        <v>7292</v>
      </c>
      <c r="B58" s="363" t="s">
        <v>380</v>
      </c>
      <c r="C58" s="377" t="s">
        <v>68</v>
      </c>
      <c r="D58" s="334" t="s">
        <v>156</v>
      </c>
      <c r="E58" s="323">
        <v>2.1</v>
      </c>
      <c r="F58" s="336"/>
      <c r="G58" s="378"/>
    </row>
    <row r="59" spans="1:19" x14ac:dyDescent="0.2">
      <c r="A59" s="332">
        <v>88315</v>
      </c>
      <c r="B59" s="363" t="s">
        <v>381</v>
      </c>
      <c r="C59" s="377" t="s">
        <v>65</v>
      </c>
      <c r="D59" s="334" t="s">
        <v>66</v>
      </c>
      <c r="E59" s="323">
        <f>23.9297324347826*2/5</f>
        <v>9.5718929739130409</v>
      </c>
      <c r="F59" s="336"/>
      <c r="G59" s="378"/>
    </row>
    <row r="60" spans="1:19" ht="13.5" thickBot="1" x14ac:dyDescent="0.25">
      <c r="A60" s="332">
        <v>88251</v>
      </c>
      <c r="B60" s="380" t="s">
        <v>383</v>
      </c>
      <c r="C60" s="381" t="s">
        <v>65</v>
      </c>
      <c r="D60" s="339" t="s">
        <v>66</v>
      </c>
      <c r="E60" s="340">
        <f>21.1686094615385*2/5</f>
        <v>8.4674437846154014</v>
      </c>
      <c r="F60" s="341"/>
      <c r="G60" s="382"/>
    </row>
    <row r="61" spans="1:19" ht="13.5" thickBot="1" x14ac:dyDescent="0.25">
      <c r="A61" s="343"/>
      <c r="B61" s="203" t="s">
        <v>302</v>
      </c>
      <c r="C61" s="316"/>
      <c r="D61" s="316"/>
      <c r="E61" s="317"/>
      <c r="F61" s="317"/>
      <c r="G61" s="318"/>
    </row>
    <row r="62" spans="1:19" s="73" customFormat="1" ht="25.5" customHeight="1" x14ac:dyDescent="0.2">
      <c r="A62" s="199" t="s">
        <v>58</v>
      </c>
      <c r="B62" s="199" t="s">
        <v>22</v>
      </c>
      <c r="C62" s="199" t="s">
        <v>146</v>
      </c>
      <c r="D62" s="199" t="s">
        <v>62</v>
      </c>
      <c r="E62" s="199" t="s">
        <v>147</v>
      </c>
      <c r="F62" s="199" t="s">
        <v>148</v>
      </c>
      <c r="G62" s="319" t="s">
        <v>149</v>
      </c>
      <c r="J62"/>
      <c r="K62"/>
      <c r="L62"/>
      <c r="M62"/>
      <c r="N62"/>
      <c r="O62"/>
      <c r="P62"/>
      <c r="Q62"/>
      <c r="R62"/>
      <c r="S62"/>
    </row>
    <row r="63" spans="1:19" x14ac:dyDescent="0.2">
      <c r="A63" s="320" t="s">
        <v>302</v>
      </c>
      <c r="B63" s="321" t="s">
        <v>269</v>
      </c>
      <c r="C63" s="322" t="s">
        <v>64</v>
      </c>
      <c r="D63" s="322" t="s">
        <v>24</v>
      </c>
      <c r="E63" s="383"/>
      <c r="F63" s="361"/>
      <c r="G63" s="325"/>
    </row>
    <row r="64" spans="1:19" ht="25.5" x14ac:dyDescent="0.2">
      <c r="A64" s="362">
        <v>87453</v>
      </c>
      <c r="B64" s="363" t="s">
        <v>176</v>
      </c>
      <c r="C64" s="334" t="s">
        <v>64</v>
      </c>
      <c r="D64" s="334" t="s">
        <v>24</v>
      </c>
      <c r="E64" s="323">
        <v>1</v>
      </c>
      <c r="F64" s="336"/>
      <c r="G64" s="378"/>
    </row>
    <row r="65" spans="1:19" ht="16.5" customHeight="1" x14ac:dyDescent="0.2">
      <c r="A65" s="309">
        <v>94963</v>
      </c>
      <c r="B65" s="384" t="s">
        <v>388</v>
      </c>
      <c r="C65" s="334" t="s">
        <v>64</v>
      </c>
      <c r="D65" s="334" t="s">
        <v>55</v>
      </c>
      <c r="E65" s="323">
        <f>0.1*0.1</f>
        <v>1.0000000000000002E-2</v>
      </c>
      <c r="F65" s="336"/>
      <c r="G65" s="378"/>
    </row>
    <row r="66" spans="1:19" ht="25.5" x14ac:dyDescent="0.2">
      <c r="A66" s="362">
        <v>94963</v>
      </c>
      <c r="B66" s="384" t="s">
        <v>177</v>
      </c>
      <c r="C66" s="334" t="s">
        <v>64</v>
      </c>
      <c r="D66" s="334" t="s">
        <v>55</v>
      </c>
      <c r="E66" s="323">
        <f>0.06*0.13*5</f>
        <v>3.9E-2</v>
      </c>
      <c r="F66" s="336"/>
      <c r="G66" s="378"/>
    </row>
    <row r="67" spans="1:19" ht="25.5" x14ac:dyDescent="0.2">
      <c r="A67" s="362">
        <v>94963</v>
      </c>
      <c r="B67" s="384" t="s">
        <v>178</v>
      </c>
      <c r="C67" s="334" t="s">
        <v>64</v>
      </c>
      <c r="D67" s="334" t="s">
        <v>55</v>
      </c>
      <c r="E67" s="323">
        <f>0.09*0.1</f>
        <v>8.9999999999999993E-3</v>
      </c>
      <c r="F67" s="336"/>
      <c r="G67" s="378"/>
    </row>
    <row r="68" spans="1:19" ht="25.5" x14ac:dyDescent="0.2">
      <c r="A68" s="385">
        <v>21014</v>
      </c>
      <c r="B68" s="384" t="s">
        <v>533</v>
      </c>
      <c r="C68" s="334" t="s">
        <v>68</v>
      </c>
      <c r="D68" s="334" t="s">
        <v>24</v>
      </c>
      <c r="E68" s="323">
        <v>1.7</v>
      </c>
      <c r="F68" s="336"/>
      <c r="G68" s="378"/>
      <c r="H68" s="386"/>
    </row>
    <row r="69" spans="1:19" ht="26.25" thickBot="1" x14ac:dyDescent="0.25">
      <c r="A69" s="387">
        <v>21015</v>
      </c>
      <c r="B69" s="388" t="s">
        <v>534</v>
      </c>
      <c r="C69" s="389" t="s">
        <v>68</v>
      </c>
      <c r="D69" s="389" t="s">
        <v>24</v>
      </c>
      <c r="E69" s="390">
        <v>0.2</v>
      </c>
      <c r="F69" s="391"/>
      <c r="G69" s="392"/>
      <c r="H69" s="386"/>
    </row>
    <row r="70" spans="1:19" ht="13.5" thickBot="1" x14ac:dyDescent="0.25">
      <c r="A70" s="343"/>
      <c r="B70" s="203" t="s">
        <v>303</v>
      </c>
      <c r="C70" s="393"/>
      <c r="D70" s="393"/>
      <c r="E70" s="203"/>
      <c r="F70" s="203"/>
      <c r="G70" s="394"/>
    </row>
    <row r="71" spans="1:19" s="73" customFormat="1" ht="25.5" customHeight="1" x14ac:dyDescent="0.2">
      <c r="A71" s="199" t="s">
        <v>58</v>
      </c>
      <c r="B71" s="199" t="s">
        <v>22</v>
      </c>
      <c r="C71" s="199" t="s">
        <v>146</v>
      </c>
      <c r="D71" s="199" t="s">
        <v>62</v>
      </c>
      <c r="E71" s="199" t="s">
        <v>147</v>
      </c>
      <c r="F71" s="199" t="s">
        <v>148</v>
      </c>
      <c r="G71" s="319" t="s">
        <v>149</v>
      </c>
      <c r="J71"/>
      <c r="K71"/>
      <c r="L71"/>
      <c r="M71"/>
      <c r="N71"/>
      <c r="O71"/>
      <c r="P71"/>
      <c r="Q71"/>
      <c r="R71"/>
      <c r="S71"/>
    </row>
    <row r="72" spans="1:19" ht="25.5" x14ac:dyDescent="0.2">
      <c r="A72" s="320" t="s">
        <v>303</v>
      </c>
      <c r="B72" s="395" t="s">
        <v>305</v>
      </c>
      <c r="C72" s="396"/>
      <c r="D72" s="396"/>
      <c r="E72" s="397"/>
      <c r="F72" s="398"/>
      <c r="G72" s="325"/>
      <c r="H72" s="399"/>
      <c r="I72" s="399"/>
    </row>
    <row r="73" spans="1:19" x14ac:dyDescent="0.2">
      <c r="A73" s="400">
        <v>88309</v>
      </c>
      <c r="B73" s="384" t="s">
        <v>306</v>
      </c>
      <c r="C73" s="396" t="s">
        <v>364</v>
      </c>
      <c r="D73" s="396" t="s">
        <v>66</v>
      </c>
      <c r="E73" s="401">
        <v>0.25</v>
      </c>
      <c r="F73" s="402"/>
      <c r="G73" s="403"/>
      <c r="H73" s="399"/>
      <c r="I73" s="399"/>
    </row>
    <row r="74" spans="1:19" x14ac:dyDescent="0.2">
      <c r="A74" s="400">
        <v>88316</v>
      </c>
      <c r="B74" s="384" t="s">
        <v>307</v>
      </c>
      <c r="C74" s="396" t="s">
        <v>364</v>
      </c>
      <c r="D74" s="396" t="s">
        <v>66</v>
      </c>
      <c r="E74" s="401">
        <v>2.1</v>
      </c>
      <c r="F74" s="402"/>
      <c r="G74" s="403"/>
      <c r="H74" s="399"/>
      <c r="I74" s="399"/>
    </row>
    <row r="75" spans="1:19" ht="27" customHeight="1" thickBot="1" x14ac:dyDescent="0.25">
      <c r="A75" s="404">
        <v>94970</v>
      </c>
      <c r="B75" s="405" t="s">
        <v>308</v>
      </c>
      <c r="C75" s="406" t="s">
        <v>365</v>
      </c>
      <c r="D75" s="406" t="s">
        <v>181</v>
      </c>
      <c r="E75" s="407">
        <v>4.2999999999999997E-2</v>
      </c>
      <c r="F75" s="408"/>
      <c r="G75" s="409"/>
      <c r="H75" s="399"/>
      <c r="I75" s="399"/>
    </row>
    <row r="76" spans="1:19" ht="13.5" thickBot="1" x14ac:dyDescent="0.25">
      <c r="A76" s="343"/>
      <c r="B76" s="203" t="s">
        <v>309</v>
      </c>
      <c r="C76" s="393"/>
      <c r="D76" s="393"/>
      <c r="E76" s="203"/>
      <c r="F76" s="203"/>
      <c r="G76" s="394"/>
    </row>
    <row r="77" spans="1:19" s="73" customFormat="1" ht="25.5" customHeight="1" x14ac:dyDescent="0.2">
      <c r="A77" s="199" t="s">
        <v>58</v>
      </c>
      <c r="B77" s="199" t="s">
        <v>22</v>
      </c>
      <c r="C77" s="199" t="s">
        <v>146</v>
      </c>
      <c r="D77" s="199" t="s">
        <v>62</v>
      </c>
      <c r="E77" s="199" t="s">
        <v>147</v>
      </c>
      <c r="F77" s="199" t="s">
        <v>148</v>
      </c>
      <c r="G77" s="319" t="s">
        <v>149</v>
      </c>
      <c r="J77"/>
      <c r="K77"/>
      <c r="L77"/>
      <c r="M77"/>
      <c r="N77"/>
      <c r="O77"/>
      <c r="P77"/>
      <c r="Q77"/>
      <c r="R77"/>
      <c r="S77"/>
    </row>
    <row r="78" spans="1:19" x14ac:dyDescent="0.2">
      <c r="A78" s="320" t="s">
        <v>309</v>
      </c>
      <c r="B78" s="395" t="s">
        <v>396</v>
      </c>
      <c r="C78" s="396"/>
      <c r="D78" s="410" t="s">
        <v>145</v>
      </c>
      <c r="E78" s="411"/>
      <c r="F78" s="412"/>
      <c r="G78" s="325"/>
    </row>
    <row r="79" spans="1:19" x14ac:dyDescent="0.2">
      <c r="A79" s="400">
        <v>88309</v>
      </c>
      <c r="B79" s="384" t="s">
        <v>306</v>
      </c>
      <c r="C79" s="396" t="s">
        <v>364</v>
      </c>
      <c r="D79" s="396" t="s">
        <v>66</v>
      </c>
      <c r="E79" s="413">
        <v>1.7070000000000001</v>
      </c>
      <c r="F79" s="350"/>
      <c r="G79" s="414"/>
    </row>
    <row r="80" spans="1:19" x14ac:dyDescent="0.2">
      <c r="A80" s="400">
        <v>88316</v>
      </c>
      <c r="B80" s="384" t="s">
        <v>307</v>
      </c>
      <c r="C80" s="396" t="s">
        <v>364</v>
      </c>
      <c r="D80" s="396" t="s">
        <v>66</v>
      </c>
      <c r="E80" s="415">
        <v>0.85299999999999998</v>
      </c>
      <c r="F80" s="350"/>
      <c r="G80" s="414"/>
    </row>
    <row r="81" spans="1:19" ht="26.25" customHeight="1" x14ac:dyDescent="0.2">
      <c r="A81" s="416">
        <v>4377</v>
      </c>
      <c r="B81" s="384" t="s">
        <v>394</v>
      </c>
      <c r="C81" s="410" t="s">
        <v>365</v>
      </c>
      <c r="D81" s="410" t="s">
        <v>145</v>
      </c>
      <c r="E81" s="417">
        <v>7.3</v>
      </c>
      <c r="F81" s="371"/>
      <c r="G81" s="418"/>
    </row>
    <row r="82" spans="1:19" x14ac:dyDescent="0.2">
      <c r="A82" s="416">
        <v>39961</v>
      </c>
      <c r="B82" s="419" t="s">
        <v>395</v>
      </c>
      <c r="C82" s="410" t="s">
        <v>365</v>
      </c>
      <c r="D82" s="410" t="s">
        <v>145</v>
      </c>
      <c r="E82" s="417">
        <v>0.56000000000000005</v>
      </c>
      <c r="F82" s="371"/>
      <c r="G82" s="418"/>
    </row>
    <row r="83" spans="1:19" ht="39" thickBot="1" x14ac:dyDescent="0.25">
      <c r="A83" s="404">
        <v>34377</v>
      </c>
      <c r="B83" s="405" t="s">
        <v>535</v>
      </c>
      <c r="C83" s="406" t="s">
        <v>365</v>
      </c>
      <c r="D83" s="406" t="s">
        <v>145</v>
      </c>
      <c r="E83" s="420">
        <v>1</v>
      </c>
      <c r="F83" s="421"/>
      <c r="G83" s="422"/>
    </row>
    <row r="84" spans="1:19" ht="13.5" thickBot="1" x14ac:dyDescent="0.25">
      <c r="A84" s="423"/>
      <c r="B84" s="424" t="s">
        <v>540</v>
      </c>
      <c r="C84" s="425"/>
      <c r="D84" s="425"/>
      <c r="E84" s="426"/>
      <c r="F84" s="426"/>
      <c r="G84" s="318"/>
    </row>
    <row r="85" spans="1:19" s="73" customFormat="1" ht="25.5" customHeight="1" x14ac:dyDescent="0.2">
      <c r="A85" s="199" t="s">
        <v>58</v>
      </c>
      <c r="B85" s="199" t="s">
        <v>22</v>
      </c>
      <c r="C85" s="199" t="s">
        <v>146</v>
      </c>
      <c r="D85" s="199" t="s">
        <v>62</v>
      </c>
      <c r="E85" s="199" t="s">
        <v>147</v>
      </c>
      <c r="F85" s="199" t="s">
        <v>416</v>
      </c>
      <c r="G85" s="319" t="s">
        <v>149</v>
      </c>
      <c r="J85"/>
      <c r="K85"/>
      <c r="L85"/>
      <c r="M85"/>
      <c r="N85"/>
      <c r="O85"/>
      <c r="P85"/>
      <c r="Q85"/>
      <c r="R85"/>
      <c r="S85"/>
    </row>
    <row r="86" spans="1:19" x14ac:dyDescent="0.2">
      <c r="A86" s="320" t="s">
        <v>540</v>
      </c>
      <c r="B86" s="374" t="s">
        <v>348</v>
      </c>
      <c r="C86" s="427"/>
      <c r="D86" s="396" t="s">
        <v>301</v>
      </c>
      <c r="E86" s="411"/>
      <c r="F86" s="412"/>
      <c r="G86" s="325"/>
    </row>
    <row r="87" spans="1:19" x14ac:dyDescent="0.2">
      <c r="A87" s="428">
        <v>377</v>
      </c>
      <c r="B87" s="333" t="s">
        <v>417</v>
      </c>
      <c r="C87" s="427" t="s">
        <v>365</v>
      </c>
      <c r="D87" s="396" t="s">
        <v>301</v>
      </c>
      <c r="E87" s="411">
        <v>1</v>
      </c>
      <c r="F87" s="429"/>
      <c r="G87" s="430"/>
    </row>
    <row r="88" spans="1:19" ht="13.5" thickBot="1" x14ac:dyDescent="0.25">
      <c r="A88" s="431">
        <v>88316</v>
      </c>
      <c r="B88" s="384" t="s">
        <v>307</v>
      </c>
      <c r="C88" s="432" t="s">
        <v>364</v>
      </c>
      <c r="D88" s="432" t="s">
        <v>253</v>
      </c>
      <c r="E88" s="433">
        <v>0.3</v>
      </c>
      <c r="F88" s="434"/>
      <c r="G88" s="435"/>
    </row>
    <row r="89" spans="1:19" ht="13.5" thickBot="1" x14ac:dyDescent="0.25">
      <c r="A89" s="436"/>
      <c r="B89" s="437" t="s">
        <v>597</v>
      </c>
      <c r="C89" s="438"/>
      <c r="D89" s="438"/>
      <c r="E89" s="439"/>
      <c r="F89" s="439"/>
      <c r="G89" s="440"/>
    </row>
    <row r="90" spans="1:19" s="73" customFormat="1" ht="25.5" customHeight="1" x14ac:dyDescent="0.2">
      <c r="A90" s="199" t="s">
        <v>58</v>
      </c>
      <c r="B90" s="199" t="s">
        <v>22</v>
      </c>
      <c r="C90" s="199" t="s">
        <v>146</v>
      </c>
      <c r="D90" s="199" t="s">
        <v>62</v>
      </c>
      <c r="E90" s="199" t="s">
        <v>147</v>
      </c>
      <c r="F90" s="199" t="s">
        <v>419</v>
      </c>
      <c r="G90" s="319" t="s">
        <v>149</v>
      </c>
      <c r="J90"/>
      <c r="K90"/>
      <c r="L90"/>
      <c r="M90"/>
      <c r="N90"/>
      <c r="O90"/>
      <c r="P90"/>
      <c r="Q90"/>
      <c r="R90"/>
      <c r="S90"/>
    </row>
    <row r="91" spans="1:19" x14ac:dyDescent="0.2">
      <c r="A91" s="320" t="s">
        <v>597</v>
      </c>
      <c r="B91" s="441" t="s">
        <v>536</v>
      </c>
      <c r="C91" s="77"/>
      <c r="D91" s="396" t="s">
        <v>301</v>
      </c>
      <c r="E91" s="413"/>
      <c r="F91" s="442"/>
      <c r="G91" s="325"/>
    </row>
    <row r="92" spans="1:19" ht="39" customHeight="1" thickBot="1" x14ac:dyDescent="0.25">
      <c r="A92" s="431">
        <v>37556</v>
      </c>
      <c r="B92" s="333" t="s">
        <v>537</v>
      </c>
      <c r="C92" s="427" t="s">
        <v>365</v>
      </c>
      <c r="D92" s="396" t="s">
        <v>301</v>
      </c>
      <c r="E92" s="411">
        <v>1</v>
      </c>
      <c r="F92" s="429"/>
      <c r="G92" s="414"/>
    </row>
    <row r="93" spans="1:19" ht="13.5" thickBot="1" x14ac:dyDescent="0.25">
      <c r="A93" s="431">
        <v>88316</v>
      </c>
      <c r="B93" s="384" t="s">
        <v>307</v>
      </c>
      <c r="C93" s="443" t="s">
        <v>364</v>
      </c>
      <c r="D93" s="444" t="s">
        <v>253</v>
      </c>
      <c r="E93" s="445">
        <v>0.1</v>
      </c>
      <c r="F93" s="446"/>
      <c r="G93" s="422"/>
    </row>
    <row r="94" spans="1:19" ht="13.5" thickBot="1" x14ac:dyDescent="0.25">
      <c r="A94" s="343"/>
      <c r="B94" s="203" t="s">
        <v>601</v>
      </c>
      <c r="C94" s="316"/>
      <c r="D94" s="316"/>
      <c r="E94" s="317"/>
      <c r="F94" s="317"/>
      <c r="G94" s="318"/>
    </row>
    <row r="95" spans="1:19" s="73" customFormat="1" ht="25.5" customHeight="1" x14ac:dyDescent="0.2">
      <c r="A95" s="199" t="s">
        <v>58</v>
      </c>
      <c r="B95" s="199" t="s">
        <v>22</v>
      </c>
      <c r="C95" s="199" t="s">
        <v>146</v>
      </c>
      <c r="D95" s="199" t="s">
        <v>62</v>
      </c>
      <c r="E95" s="199" t="s">
        <v>147</v>
      </c>
      <c r="F95" s="199" t="s">
        <v>416</v>
      </c>
      <c r="G95" s="319" t="s">
        <v>149</v>
      </c>
      <c r="J95"/>
      <c r="K95"/>
      <c r="L95"/>
      <c r="M95"/>
      <c r="N95"/>
      <c r="O95"/>
      <c r="P95"/>
      <c r="Q95"/>
      <c r="R95"/>
      <c r="S95"/>
    </row>
    <row r="96" spans="1:19" ht="27" customHeight="1" x14ac:dyDescent="0.2">
      <c r="A96" s="320" t="s">
        <v>601</v>
      </c>
      <c r="B96" s="395" t="s">
        <v>293</v>
      </c>
      <c r="C96" s="447"/>
      <c r="D96" s="427" t="s">
        <v>55</v>
      </c>
      <c r="E96" s="413"/>
      <c r="F96" s="442"/>
      <c r="G96" s="325"/>
      <c r="H96" s="448"/>
      <c r="I96" s="448"/>
    </row>
    <row r="97" spans="1:19" x14ac:dyDescent="0.2">
      <c r="A97" s="428">
        <v>88309</v>
      </c>
      <c r="B97" s="384" t="s">
        <v>306</v>
      </c>
      <c r="C97" s="447" t="s">
        <v>364</v>
      </c>
      <c r="D97" s="447" t="s">
        <v>253</v>
      </c>
      <c r="E97" s="413">
        <v>2.1539999999999999</v>
      </c>
      <c r="F97" s="350"/>
      <c r="G97" s="414"/>
      <c r="H97" s="448"/>
      <c r="I97" s="448"/>
    </row>
    <row r="98" spans="1:19" x14ac:dyDescent="0.2">
      <c r="A98" s="428">
        <v>88316</v>
      </c>
      <c r="B98" s="384" t="s">
        <v>307</v>
      </c>
      <c r="C98" s="447" t="s">
        <v>364</v>
      </c>
      <c r="D98" s="447" t="s">
        <v>253</v>
      </c>
      <c r="E98" s="413">
        <v>3.2930000000000001</v>
      </c>
      <c r="F98" s="350"/>
      <c r="G98" s="414"/>
      <c r="H98" s="448"/>
      <c r="I98" s="448"/>
    </row>
    <row r="99" spans="1:19" x14ac:dyDescent="0.2">
      <c r="A99" s="428">
        <v>88262</v>
      </c>
      <c r="B99" s="449" t="s">
        <v>384</v>
      </c>
      <c r="C99" s="447" t="s">
        <v>364</v>
      </c>
      <c r="D99" s="447" t="s">
        <v>253</v>
      </c>
      <c r="E99" s="413">
        <v>2.2559999999999998</v>
      </c>
      <c r="F99" s="350"/>
      <c r="G99" s="414"/>
      <c r="H99" s="448"/>
      <c r="I99" s="448"/>
    </row>
    <row r="100" spans="1:19" ht="27.75" customHeight="1" x14ac:dyDescent="0.2">
      <c r="A100" s="428">
        <v>94964</v>
      </c>
      <c r="B100" s="384" t="s">
        <v>420</v>
      </c>
      <c r="C100" s="427" t="s">
        <v>365</v>
      </c>
      <c r="D100" s="427" t="s">
        <v>25</v>
      </c>
      <c r="E100" s="413">
        <v>1.2130000000000001</v>
      </c>
      <c r="F100" s="350"/>
      <c r="G100" s="414"/>
      <c r="H100" s="448"/>
      <c r="I100" s="448"/>
    </row>
    <row r="101" spans="1:19" ht="25.5" x14ac:dyDescent="0.2">
      <c r="A101" s="428">
        <v>4517</v>
      </c>
      <c r="B101" s="384" t="s">
        <v>539</v>
      </c>
      <c r="C101" s="427" t="s">
        <v>365</v>
      </c>
      <c r="D101" s="427" t="s">
        <v>24</v>
      </c>
      <c r="E101" s="413">
        <v>2.5</v>
      </c>
      <c r="F101" s="350"/>
      <c r="G101" s="414"/>
      <c r="H101" s="448"/>
      <c r="I101" s="448"/>
    </row>
    <row r="102" spans="1:19" ht="38.25" x14ac:dyDescent="0.2">
      <c r="A102" s="428">
        <v>87445</v>
      </c>
      <c r="B102" s="384" t="s">
        <v>421</v>
      </c>
      <c r="C102" s="427" t="s">
        <v>365</v>
      </c>
      <c r="D102" s="427" t="s">
        <v>422</v>
      </c>
      <c r="E102" s="413">
        <v>1</v>
      </c>
      <c r="F102" s="350"/>
      <c r="G102" s="414"/>
      <c r="H102" s="448"/>
      <c r="I102" s="448"/>
    </row>
    <row r="103" spans="1:19" ht="38.25" x14ac:dyDescent="0.2">
      <c r="A103" s="428">
        <v>7156</v>
      </c>
      <c r="B103" s="384" t="s">
        <v>423</v>
      </c>
      <c r="C103" s="427" t="s">
        <v>365</v>
      </c>
      <c r="D103" s="427" t="s">
        <v>23</v>
      </c>
      <c r="E103" s="413">
        <v>1.1224000000000001</v>
      </c>
      <c r="F103" s="350"/>
      <c r="G103" s="414"/>
      <c r="H103" s="448"/>
      <c r="I103" s="448"/>
    </row>
    <row r="104" spans="1:19" ht="25.5" x14ac:dyDescent="0.2">
      <c r="A104" s="428">
        <v>88377</v>
      </c>
      <c r="B104" s="384" t="s">
        <v>538</v>
      </c>
      <c r="C104" s="427" t="s">
        <v>364</v>
      </c>
      <c r="D104" s="427" t="s">
        <v>253</v>
      </c>
      <c r="E104" s="413">
        <v>0.20100000000000001</v>
      </c>
      <c r="F104" s="350"/>
      <c r="G104" s="414"/>
      <c r="H104" s="448"/>
      <c r="I104" s="448"/>
    </row>
    <row r="105" spans="1:19" x14ac:dyDescent="0.2">
      <c r="A105" s="450">
        <v>3777</v>
      </c>
      <c r="B105" s="384" t="s">
        <v>424</v>
      </c>
      <c r="C105" s="427" t="s">
        <v>365</v>
      </c>
      <c r="D105" s="427" t="s">
        <v>60</v>
      </c>
      <c r="E105" s="413">
        <v>1.1279999999999999</v>
      </c>
      <c r="F105" s="350"/>
      <c r="G105" s="414"/>
      <c r="H105" s="448"/>
      <c r="I105" s="448"/>
    </row>
    <row r="106" spans="1:19" ht="26.25" thickBot="1" x14ac:dyDescent="0.25">
      <c r="A106" s="431">
        <v>4460</v>
      </c>
      <c r="B106" s="405" t="s">
        <v>392</v>
      </c>
      <c r="C106" s="432" t="s">
        <v>365</v>
      </c>
      <c r="D106" s="432" t="s">
        <v>24</v>
      </c>
      <c r="E106" s="451">
        <v>2</v>
      </c>
      <c r="F106" s="421"/>
      <c r="G106" s="422"/>
      <c r="H106" s="448"/>
      <c r="I106" s="448"/>
    </row>
    <row r="107" spans="1:19" ht="13.5" thickBot="1" x14ac:dyDescent="0.25">
      <c r="A107" s="343"/>
      <c r="B107" s="203" t="s">
        <v>517</v>
      </c>
      <c r="C107" s="316"/>
      <c r="D107" s="316"/>
      <c r="E107" s="317"/>
      <c r="F107" s="317"/>
      <c r="G107" s="318"/>
    </row>
    <row r="108" spans="1:19" s="73" customFormat="1" ht="25.5" customHeight="1" x14ac:dyDescent="0.2">
      <c r="A108" s="199" t="s">
        <v>58</v>
      </c>
      <c r="B108" s="199" t="s">
        <v>22</v>
      </c>
      <c r="C108" s="199" t="s">
        <v>146</v>
      </c>
      <c r="D108" s="199" t="s">
        <v>62</v>
      </c>
      <c r="E108" s="199" t="s">
        <v>147</v>
      </c>
      <c r="F108" s="199" t="s">
        <v>416</v>
      </c>
      <c r="G108" s="319" t="s">
        <v>149</v>
      </c>
      <c r="J108"/>
      <c r="K108"/>
      <c r="L108"/>
      <c r="M108"/>
      <c r="N108"/>
      <c r="O108"/>
      <c r="P108"/>
      <c r="Q108"/>
      <c r="R108"/>
      <c r="S108"/>
    </row>
    <row r="109" spans="1:19" x14ac:dyDescent="0.2">
      <c r="A109" s="320" t="s">
        <v>517</v>
      </c>
      <c r="B109" s="395" t="s">
        <v>514</v>
      </c>
      <c r="C109" s="447"/>
      <c r="D109" s="349" t="s">
        <v>24</v>
      </c>
      <c r="E109" s="427"/>
      <c r="F109" s="452"/>
      <c r="G109" s="325"/>
    </row>
    <row r="110" spans="1:19" ht="25.5" x14ac:dyDescent="0.2">
      <c r="A110" s="428">
        <v>34347</v>
      </c>
      <c r="B110" s="384" t="s">
        <v>509</v>
      </c>
      <c r="C110" s="427" t="s">
        <v>365</v>
      </c>
      <c r="D110" s="427" t="s">
        <v>24</v>
      </c>
      <c r="E110" s="401">
        <v>1</v>
      </c>
      <c r="F110" s="402"/>
      <c r="G110" s="453"/>
    </row>
    <row r="111" spans="1:19" ht="12.75" customHeight="1" x14ac:dyDescent="0.2">
      <c r="A111" s="428">
        <v>34349</v>
      </c>
      <c r="B111" s="384" t="s">
        <v>510</v>
      </c>
      <c r="C111" s="427" t="s">
        <v>365</v>
      </c>
      <c r="D111" s="427" t="s">
        <v>301</v>
      </c>
      <c r="E111" s="401">
        <v>0.5</v>
      </c>
      <c r="F111" s="402"/>
      <c r="G111" s="453"/>
    </row>
    <row r="112" spans="1:19" ht="13.5" thickBot="1" x14ac:dyDescent="0.25">
      <c r="A112" s="428">
        <v>88242</v>
      </c>
      <c r="B112" s="384" t="s">
        <v>511</v>
      </c>
      <c r="C112" s="427" t="s">
        <v>364</v>
      </c>
      <c r="D112" s="427" t="s">
        <v>253</v>
      </c>
      <c r="E112" s="401">
        <v>0.3</v>
      </c>
      <c r="F112" s="402"/>
      <c r="G112" s="453"/>
    </row>
    <row r="113" spans="1:19" ht="13.5" thickBot="1" x14ac:dyDescent="0.25">
      <c r="A113" s="343"/>
      <c r="B113" s="203" t="s">
        <v>650</v>
      </c>
      <c r="C113" s="316"/>
      <c r="D113" s="316"/>
      <c r="E113" s="317"/>
      <c r="F113" s="317"/>
      <c r="G113" s="318"/>
    </row>
    <row r="114" spans="1:19" s="73" customFormat="1" ht="25.5" customHeight="1" x14ac:dyDescent="0.2">
      <c r="A114" s="199" t="s">
        <v>58</v>
      </c>
      <c r="B114" s="199" t="s">
        <v>22</v>
      </c>
      <c r="C114" s="199" t="s">
        <v>146</v>
      </c>
      <c r="D114" s="199" t="s">
        <v>62</v>
      </c>
      <c r="E114" s="199" t="s">
        <v>147</v>
      </c>
      <c r="F114" s="199" t="s">
        <v>416</v>
      </c>
      <c r="G114" s="319" t="s">
        <v>149</v>
      </c>
      <c r="J114"/>
      <c r="K114"/>
      <c r="L114"/>
      <c r="M114"/>
      <c r="N114"/>
      <c r="O114"/>
      <c r="P114"/>
      <c r="Q114"/>
      <c r="R114"/>
      <c r="S114"/>
    </row>
    <row r="115" spans="1:19" ht="38.25" x14ac:dyDescent="0.2">
      <c r="A115" s="320" t="s">
        <v>650</v>
      </c>
      <c r="B115" s="395" t="s">
        <v>169</v>
      </c>
      <c r="C115" s="447"/>
      <c r="D115" s="427" t="s">
        <v>301</v>
      </c>
      <c r="E115" s="454"/>
      <c r="F115" s="452"/>
      <c r="G115" s="325"/>
    </row>
    <row r="116" spans="1:19" ht="25.5" x14ac:dyDescent="0.2">
      <c r="A116" s="455">
        <v>379</v>
      </c>
      <c r="B116" s="384" t="s">
        <v>584</v>
      </c>
      <c r="C116" s="447"/>
      <c r="D116" s="427" t="s">
        <v>301</v>
      </c>
      <c r="E116" s="456">
        <v>2</v>
      </c>
      <c r="F116" s="402"/>
      <c r="G116" s="403"/>
    </row>
    <row r="117" spans="1:19" ht="26.25" customHeight="1" x14ac:dyDescent="0.2">
      <c r="A117" s="455">
        <v>420</v>
      </c>
      <c r="B117" s="384" t="s">
        <v>588</v>
      </c>
      <c r="C117" s="447"/>
      <c r="D117" s="427" t="s">
        <v>301</v>
      </c>
      <c r="E117" s="456">
        <v>2</v>
      </c>
      <c r="F117" s="402"/>
      <c r="G117" s="403"/>
    </row>
    <row r="118" spans="1:19" ht="29.25" customHeight="1" x14ac:dyDescent="0.2">
      <c r="A118" s="455">
        <v>985</v>
      </c>
      <c r="B118" s="384" t="s">
        <v>585</v>
      </c>
      <c r="C118" s="447"/>
      <c r="D118" s="349" t="s">
        <v>24</v>
      </c>
      <c r="E118" s="456">
        <v>36</v>
      </c>
      <c r="F118" s="402"/>
      <c r="G118" s="403"/>
    </row>
    <row r="119" spans="1:19" ht="25.5" x14ac:dyDescent="0.2">
      <c r="A119" s="455">
        <v>1091</v>
      </c>
      <c r="B119" s="384" t="s">
        <v>583</v>
      </c>
      <c r="C119" s="447"/>
      <c r="D119" s="427" t="s">
        <v>301</v>
      </c>
      <c r="E119" s="456">
        <v>1</v>
      </c>
      <c r="F119" s="402"/>
      <c r="G119" s="403"/>
    </row>
    <row r="120" spans="1:19" ht="25.5" x14ac:dyDescent="0.2">
      <c r="A120" s="455">
        <v>2386</v>
      </c>
      <c r="B120" s="384" t="s">
        <v>649</v>
      </c>
      <c r="C120" s="447"/>
      <c r="D120" s="427" t="s">
        <v>301</v>
      </c>
      <c r="E120" s="456">
        <v>1</v>
      </c>
      <c r="F120" s="402"/>
      <c r="G120" s="403"/>
    </row>
    <row r="121" spans="1:19" x14ac:dyDescent="0.2">
      <c r="A121" s="455">
        <v>2673</v>
      </c>
      <c r="B121" s="384" t="s">
        <v>591</v>
      </c>
      <c r="C121" s="447"/>
      <c r="D121" s="349" t="s">
        <v>24</v>
      </c>
      <c r="E121" s="456">
        <v>2</v>
      </c>
      <c r="F121" s="402"/>
      <c r="G121" s="403"/>
    </row>
    <row r="122" spans="1:19" x14ac:dyDescent="0.2">
      <c r="A122" s="455">
        <v>2685</v>
      </c>
      <c r="B122" s="384" t="s">
        <v>590</v>
      </c>
      <c r="C122" s="447"/>
      <c r="D122" s="349" t="s">
        <v>24</v>
      </c>
      <c r="E122" s="456">
        <v>9</v>
      </c>
      <c r="F122" s="402"/>
      <c r="G122" s="403"/>
    </row>
    <row r="123" spans="1:19" ht="39.75" customHeight="1" x14ac:dyDescent="0.2">
      <c r="A123" s="455">
        <v>3380</v>
      </c>
      <c r="B123" s="384" t="s">
        <v>582</v>
      </c>
      <c r="C123" s="447"/>
      <c r="D123" s="427" t="s">
        <v>301</v>
      </c>
      <c r="E123" s="456">
        <v>1</v>
      </c>
      <c r="F123" s="402"/>
      <c r="G123" s="403"/>
    </row>
    <row r="124" spans="1:19" ht="25.5" x14ac:dyDescent="0.2">
      <c r="A124" s="455">
        <v>3398</v>
      </c>
      <c r="B124" s="384" t="s">
        <v>592</v>
      </c>
      <c r="C124" s="447"/>
      <c r="D124" s="427" t="s">
        <v>301</v>
      </c>
      <c r="E124" s="456">
        <v>1</v>
      </c>
      <c r="F124" s="402"/>
      <c r="G124" s="403"/>
    </row>
    <row r="125" spans="1:19" ht="28.5" customHeight="1" x14ac:dyDescent="0.2">
      <c r="A125" s="455">
        <v>4336</v>
      </c>
      <c r="B125" s="384" t="s">
        <v>593</v>
      </c>
      <c r="C125" s="447"/>
      <c r="D125" s="427" t="s">
        <v>301</v>
      </c>
      <c r="E125" s="456">
        <v>2</v>
      </c>
      <c r="F125" s="402"/>
      <c r="G125" s="403"/>
    </row>
    <row r="126" spans="1:19" x14ac:dyDescent="0.2">
      <c r="A126" s="457" t="s">
        <v>651</v>
      </c>
      <c r="B126" s="384" t="s">
        <v>594</v>
      </c>
      <c r="C126" s="447"/>
      <c r="D126" s="427" t="s">
        <v>301</v>
      </c>
      <c r="E126" s="456">
        <v>1</v>
      </c>
      <c r="F126" s="402"/>
      <c r="G126" s="403"/>
    </row>
    <row r="127" spans="1:19" ht="25.5" x14ac:dyDescent="0.2">
      <c r="A127" s="455">
        <v>11856</v>
      </c>
      <c r="B127" s="384" t="s">
        <v>589</v>
      </c>
      <c r="C127" s="447"/>
      <c r="D127" s="427" t="s">
        <v>301</v>
      </c>
      <c r="E127" s="456">
        <v>2</v>
      </c>
      <c r="F127" s="402"/>
      <c r="G127" s="403"/>
    </row>
    <row r="128" spans="1:19" ht="25.5" x14ac:dyDescent="0.2">
      <c r="A128" s="455">
        <v>20256</v>
      </c>
      <c r="B128" s="384" t="s">
        <v>595</v>
      </c>
      <c r="C128" s="447"/>
      <c r="D128" s="427" t="s">
        <v>301</v>
      </c>
      <c r="E128" s="456">
        <v>1</v>
      </c>
      <c r="F128" s="402"/>
      <c r="G128" s="403"/>
    </row>
    <row r="129" spans="1:19" ht="25.5" x14ac:dyDescent="0.2">
      <c r="A129" s="428">
        <v>39680</v>
      </c>
      <c r="B129" s="384" t="s">
        <v>586</v>
      </c>
      <c r="C129" s="427"/>
      <c r="D129" s="427" t="s">
        <v>301</v>
      </c>
      <c r="E129" s="458">
        <v>1</v>
      </c>
      <c r="F129" s="402"/>
      <c r="G129" s="403"/>
    </row>
    <row r="130" spans="1:19" x14ac:dyDescent="0.2">
      <c r="A130" s="428">
        <v>88264</v>
      </c>
      <c r="B130" s="384" t="s">
        <v>581</v>
      </c>
      <c r="C130" s="427"/>
      <c r="D130" s="349" t="s">
        <v>253</v>
      </c>
      <c r="E130" s="458">
        <v>6</v>
      </c>
      <c r="F130" s="402"/>
      <c r="G130" s="403"/>
    </row>
    <row r="131" spans="1:19" ht="13.5" thickBot="1" x14ac:dyDescent="0.25">
      <c r="A131" s="428">
        <v>88316</v>
      </c>
      <c r="B131" s="384" t="s">
        <v>307</v>
      </c>
      <c r="C131" s="427"/>
      <c r="D131" s="349" t="s">
        <v>253</v>
      </c>
      <c r="E131" s="458">
        <v>6</v>
      </c>
      <c r="F131" s="402"/>
      <c r="G131" s="403"/>
    </row>
    <row r="132" spans="1:19" ht="13.5" thickBot="1" x14ac:dyDescent="0.25">
      <c r="A132" s="343"/>
      <c r="B132" s="203" t="s">
        <v>651</v>
      </c>
      <c r="C132" s="316"/>
      <c r="D132" s="316"/>
      <c r="E132" s="317"/>
      <c r="F132" s="317"/>
      <c r="G132" s="318"/>
    </row>
    <row r="133" spans="1:19" s="73" customFormat="1" ht="25.5" customHeight="1" x14ac:dyDescent="0.2">
      <c r="A133" s="199" t="s">
        <v>58</v>
      </c>
      <c r="B133" s="199" t="s">
        <v>22</v>
      </c>
      <c r="C133" s="199" t="s">
        <v>146</v>
      </c>
      <c r="D133" s="199" t="s">
        <v>62</v>
      </c>
      <c r="E133" s="199" t="s">
        <v>147</v>
      </c>
      <c r="F133" s="199" t="s">
        <v>416</v>
      </c>
      <c r="G133" s="319" t="s">
        <v>149</v>
      </c>
      <c r="J133"/>
      <c r="K133"/>
      <c r="L133"/>
      <c r="M133"/>
      <c r="N133"/>
      <c r="O133"/>
      <c r="P133"/>
      <c r="Q133"/>
      <c r="R133"/>
      <c r="S133"/>
    </row>
    <row r="134" spans="1:19" x14ac:dyDescent="0.2">
      <c r="A134" s="320" t="s">
        <v>651</v>
      </c>
      <c r="B134" s="395" t="s">
        <v>594</v>
      </c>
      <c r="C134" s="447"/>
      <c r="D134" s="349" t="s">
        <v>24</v>
      </c>
      <c r="E134" s="454"/>
      <c r="F134" s="452"/>
      <c r="G134" s="325"/>
    </row>
    <row r="135" spans="1:19" x14ac:dyDescent="0.2">
      <c r="A135" s="428">
        <v>12366</v>
      </c>
      <c r="B135" s="384" t="s">
        <v>594</v>
      </c>
      <c r="C135" s="427"/>
      <c r="D135" s="427" t="s">
        <v>301</v>
      </c>
      <c r="E135" s="401">
        <v>1</v>
      </c>
      <c r="F135" s="458"/>
      <c r="G135" s="453"/>
    </row>
    <row r="136" spans="1:19" x14ac:dyDescent="0.2">
      <c r="A136" s="428">
        <v>88316</v>
      </c>
      <c r="B136" s="384" t="s">
        <v>307</v>
      </c>
      <c r="C136" s="427"/>
      <c r="D136" s="349" t="s">
        <v>253</v>
      </c>
      <c r="E136" s="401">
        <v>6</v>
      </c>
      <c r="F136" s="458"/>
      <c r="G136" s="453"/>
    </row>
    <row r="137" spans="1:19" ht="51" x14ac:dyDescent="0.2">
      <c r="A137" s="428">
        <v>91634</v>
      </c>
      <c r="B137" s="384" t="s">
        <v>652</v>
      </c>
      <c r="C137" s="427"/>
      <c r="D137" s="349" t="s">
        <v>422</v>
      </c>
      <c r="E137" s="401">
        <v>1.25</v>
      </c>
      <c r="F137" s="458"/>
      <c r="G137" s="453"/>
    </row>
    <row r="138" spans="1:19" ht="25.5" x14ac:dyDescent="0.2">
      <c r="A138" s="428">
        <v>92873</v>
      </c>
      <c r="B138" s="384" t="s">
        <v>563</v>
      </c>
      <c r="C138" s="427"/>
      <c r="D138" s="349" t="s">
        <v>55</v>
      </c>
      <c r="E138" s="401">
        <v>0.15</v>
      </c>
      <c r="F138" s="458"/>
      <c r="G138" s="453"/>
    </row>
    <row r="139" spans="1:19" ht="27" customHeight="1" x14ac:dyDescent="0.2">
      <c r="A139" s="428">
        <v>94969</v>
      </c>
      <c r="B139" s="384" t="s">
        <v>279</v>
      </c>
      <c r="C139" s="427"/>
      <c r="D139" s="349" t="s">
        <v>55</v>
      </c>
      <c r="E139" s="401">
        <v>0.15</v>
      </c>
      <c r="F139" s="458"/>
      <c r="G139" s="453"/>
    </row>
    <row r="140" spans="1:19" ht="14.25" customHeight="1" x14ac:dyDescent="0.2">
      <c r="A140" s="459"/>
      <c r="B140" s="460"/>
      <c r="C140" s="38"/>
      <c r="D140" s="123"/>
      <c r="E140" s="459"/>
      <c r="F140" s="461"/>
      <c r="G140" s="461"/>
    </row>
    <row r="141" spans="1:19" ht="15.75" customHeight="1" x14ac:dyDescent="0.2">
      <c r="A141" s="459"/>
      <c r="B141" s="460"/>
      <c r="C141" s="38"/>
      <c r="D141" s="123"/>
      <c r="E141" s="459"/>
      <c r="F141" s="461"/>
      <c r="G141" s="461"/>
    </row>
    <row r="142" spans="1:19" x14ac:dyDescent="0.2">
      <c r="A142" s="462"/>
      <c r="B142" s="463"/>
      <c r="C142" s="126"/>
      <c r="D142" s="126"/>
      <c r="E142" s="464"/>
      <c r="F142" s="464"/>
      <c r="G142" s="464"/>
    </row>
    <row r="143" spans="1:19" x14ac:dyDescent="0.2">
      <c r="A143" s="448"/>
      <c r="B143" s="448"/>
      <c r="C143" s="465"/>
      <c r="D143" s="465"/>
      <c r="E143" s="448"/>
      <c r="F143" s="448"/>
      <c r="G143" s="448"/>
    </row>
    <row r="144" spans="1:19" x14ac:dyDescent="0.2">
      <c r="A144" s="448"/>
      <c r="B144" s="70"/>
      <c r="C144" s="465"/>
      <c r="D144" s="465"/>
      <c r="E144" s="448"/>
      <c r="F144" s="448"/>
      <c r="G144" s="448"/>
    </row>
    <row r="145" spans="1:7" x14ac:dyDescent="0.2">
      <c r="A145" s="712"/>
      <c r="B145" s="712"/>
      <c r="C145" s="712"/>
      <c r="D145" s="712"/>
      <c r="E145" s="712"/>
      <c r="F145" s="712"/>
      <c r="G145" s="712"/>
    </row>
    <row r="146" spans="1:7" x14ac:dyDescent="0.2">
      <c r="A146" s="711"/>
      <c r="B146" s="711"/>
      <c r="C146" s="711"/>
      <c r="D146" s="711"/>
      <c r="E146" s="711"/>
      <c r="F146" s="711"/>
      <c r="G146" s="711"/>
    </row>
    <row r="147" spans="1:7" x14ac:dyDescent="0.2">
      <c r="A147" s="459"/>
      <c r="B147" s="463"/>
      <c r="C147" s="38"/>
      <c r="D147" s="38"/>
      <c r="E147" s="459"/>
      <c r="F147" s="459"/>
      <c r="G147" s="461"/>
    </row>
    <row r="148" spans="1:7" x14ac:dyDescent="0.2">
      <c r="A148" s="38"/>
      <c r="B148" s="463"/>
      <c r="C148" s="38"/>
      <c r="D148" s="38"/>
      <c r="E148" s="459"/>
      <c r="F148" s="461"/>
      <c r="G148" s="461"/>
    </row>
    <row r="149" spans="1:7" x14ac:dyDescent="0.2">
      <c r="A149" s="448"/>
      <c r="B149" s="448"/>
      <c r="C149" s="465"/>
      <c r="D149" s="465"/>
      <c r="E149" s="448"/>
      <c r="F149" s="448"/>
      <c r="G149" s="448"/>
    </row>
    <row r="150" spans="1:7" x14ac:dyDescent="0.2">
      <c r="A150" s="448"/>
      <c r="B150" s="70"/>
      <c r="C150" s="465"/>
      <c r="D150" s="465"/>
      <c r="E150" s="448"/>
      <c r="F150" s="448"/>
      <c r="G150" s="448"/>
    </row>
    <row r="151" spans="1:7" x14ac:dyDescent="0.2">
      <c r="A151" s="466"/>
      <c r="B151" s="71"/>
      <c r="C151" s="200"/>
      <c r="D151" s="200"/>
      <c r="E151" s="467"/>
      <c r="F151" s="467"/>
      <c r="G151" s="468"/>
    </row>
    <row r="152" spans="1:7" x14ac:dyDescent="0.2">
      <c r="A152" s="466"/>
      <c r="B152" s="71"/>
      <c r="C152" s="200"/>
      <c r="D152" s="200"/>
      <c r="E152" s="464"/>
      <c r="F152" s="469"/>
      <c r="G152" s="464"/>
    </row>
    <row r="153" spans="1:7" x14ac:dyDescent="0.2">
      <c r="A153" s="459"/>
      <c r="B153" s="463"/>
      <c r="C153" s="38"/>
      <c r="D153" s="38"/>
      <c r="E153" s="459"/>
      <c r="F153" s="459"/>
      <c r="G153" s="461"/>
    </row>
    <row r="154" spans="1:7" x14ac:dyDescent="0.2">
      <c r="A154" s="38"/>
      <c r="B154" s="463"/>
      <c r="C154" s="38"/>
      <c r="D154" s="38"/>
      <c r="E154" s="459"/>
      <c r="F154" s="461"/>
      <c r="G154" s="461"/>
    </row>
    <row r="155" spans="1:7" x14ac:dyDescent="0.2">
      <c r="A155" s="448"/>
      <c r="B155" s="448"/>
      <c r="C155" s="465"/>
      <c r="D155" s="465"/>
      <c r="E155" s="448"/>
      <c r="F155" s="448"/>
      <c r="G155" s="448"/>
    </row>
    <row r="156" spans="1:7" x14ac:dyDescent="0.2">
      <c r="A156" s="448"/>
      <c r="B156" s="70"/>
      <c r="C156" s="465"/>
      <c r="D156" s="465"/>
      <c r="E156" s="448"/>
      <c r="F156" s="448"/>
      <c r="G156" s="448"/>
    </row>
    <row r="157" spans="1:7" x14ac:dyDescent="0.2">
      <c r="A157" s="466"/>
      <c r="B157" s="71"/>
      <c r="C157" s="200"/>
      <c r="D157" s="200"/>
      <c r="E157" s="467"/>
      <c r="F157" s="467"/>
      <c r="G157" s="468"/>
    </row>
    <row r="158" spans="1:7" x14ac:dyDescent="0.2">
      <c r="A158" s="466"/>
      <c r="B158" s="71"/>
      <c r="C158" s="200"/>
      <c r="D158" s="200"/>
      <c r="E158" s="464"/>
      <c r="F158" s="469"/>
      <c r="G158" s="464"/>
    </row>
    <row r="159" spans="1:7" x14ac:dyDescent="0.2">
      <c r="A159" s="459"/>
      <c r="B159" s="463"/>
      <c r="C159" s="38"/>
      <c r="D159" s="38"/>
      <c r="E159" s="459"/>
      <c r="F159" s="459"/>
      <c r="G159" s="461"/>
    </row>
    <row r="160" spans="1:7" x14ac:dyDescent="0.2">
      <c r="A160" s="38"/>
      <c r="B160" s="463"/>
      <c r="C160" s="38"/>
      <c r="D160" s="38"/>
      <c r="E160" s="459"/>
      <c r="F160" s="461"/>
      <c r="G160" s="461"/>
    </row>
    <row r="161" spans="1:7" x14ac:dyDescent="0.2">
      <c r="A161" s="448"/>
      <c r="B161" s="470"/>
      <c r="C161" s="471"/>
      <c r="D161" s="471"/>
      <c r="E161" s="470"/>
      <c r="F161" s="470"/>
      <c r="G161" s="470"/>
    </row>
    <row r="162" spans="1:7" x14ac:dyDescent="0.2">
      <c r="A162" s="71"/>
      <c r="B162" s="71"/>
      <c r="C162" s="200"/>
      <c r="D162" s="200"/>
      <c r="E162" s="71"/>
      <c r="F162" s="71"/>
      <c r="G162" s="71"/>
    </row>
    <row r="163" spans="1:7" x14ac:dyDescent="0.2">
      <c r="A163" s="70"/>
      <c r="B163" s="71"/>
      <c r="C163" s="38"/>
      <c r="D163" s="38"/>
      <c r="E163" s="70"/>
      <c r="F163" s="70"/>
      <c r="G163" s="472"/>
    </row>
    <row r="164" spans="1:7" x14ac:dyDescent="0.2">
      <c r="A164" s="448"/>
      <c r="B164" s="463"/>
      <c r="C164" s="38"/>
      <c r="D164" s="38"/>
      <c r="E164" s="448"/>
      <c r="F164" s="448"/>
      <c r="G164" s="473"/>
    </row>
    <row r="165" spans="1:7" x14ac:dyDescent="0.2">
      <c r="A165" s="448"/>
      <c r="B165" s="463"/>
      <c r="C165" s="38"/>
      <c r="D165" s="38"/>
      <c r="E165" s="448"/>
      <c r="F165" s="448"/>
      <c r="G165" s="473"/>
    </row>
    <row r="166" spans="1:7" x14ac:dyDescent="0.2">
      <c r="A166" s="448"/>
      <c r="B166" s="463"/>
      <c r="C166" s="38"/>
      <c r="D166" s="38"/>
      <c r="E166" s="448"/>
      <c r="F166" s="448"/>
      <c r="G166" s="473"/>
    </row>
    <row r="167" spans="1:7" x14ac:dyDescent="0.2">
      <c r="A167" s="448"/>
      <c r="B167" s="448"/>
      <c r="C167" s="465"/>
      <c r="D167" s="465"/>
      <c r="E167" s="448"/>
      <c r="F167" s="448"/>
      <c r="G167" s="448"/>
    </row>
    <row r="168" spans="1:7" x14ac:dyDescent="0.2">
      <c r="A168" s="448"/>
      <c r="B168" s="448"/>
      <c r="C168" s="465"/>
      <c r="D168" s="465"/>
      <c r="E168" s="448"/>
      <c r="F168" s="448"/>
      <c r="G168" s="448"/>
    </row>
    <row r="169" spans="1:7" x14ac:dyDescent="0.2">
      <c r="A169" s="448"/>
      <c r="B169" s="448"/>
      <c r="C169" s="465"/>
      <c r="D169" s="465"/>
      <c r="E169" s="448"/>
      <c r="F169" s="448"/>
      <c r="G169" s="448"/>
    </row>
    <row r="170" spans="1:7" x14ac:dyDescent="0.2">
      <c r="A170" s="448"/>
      <c r="B170" s="448"/>
      <c r="C170" s="465"/>
      <c r="D170" s="465"/>
      <c r="E170" s="448"/>
      <c r="F170" s="448"/>
      <c r="G170" s="448"/>
    </row>
    <row r="171" spans="1:7" x14ac:dyDescent="0.2">
      <c r="A171" s="448"/>
      <c r="B171" s="448"/>
      <c r="C171" s="465"/>
      <c r="D171" s="465"/>
      <c r="E171" s="448"/>
      <c r="F171" s="448"/>
      <c r="G171" s="448"/>
    </row>
    <row r="172" spans="1:7" x14ac:dyDescent="0.2">
      <c r="A172" s="448"/>
      <c r="B172" s="448"/>
      <c r="C172" s="465"/>
      <c r="D172" s="465"/>
      <c r="E172" s="448"/>
      <c r="F172" s="448"/>
      <c r="G172" s="448"/>
    </row>
    <row r="173" spans="1:7" x14ac:dyDescent="0.2">
      <c r="A173" s="448"/>
      <c r="B173" s="448"/>
      <c r="C173" s="465"/>
      <c r="D173" s="465"/>
      <c r="E173" s="448"/>
      <c r="F173" s="448"/>
      <c r="G173" s="448"/>
    </row>
    <row r="174" spans="1:7" x14ac:dyDescent="0.2">
      <c r="A174" s="448"/>
      <c r="B174" s="448"/>
      <c r="C174" s="465"/>
      <c r="D174" s="465"/>
      <c r="E174" s="448"/>
      <c r="F174" s="448"/>
      <c r="G174" s="448"/>
    </row>
    <row r="175" spans="1:7" x14ac:dyDescent="0.2">
      <c r="A175" s="448"/>
      <c r="B175" s="448"/>
      <c r="C175" s="465"/>
      <c r="D175" s="465"/>
      <c r="E175" s="448"/>
      <c r="F175" s="448"/>
      <c r="G175" s="448"/>
    </row>
    <row r="176" spans="1:7" x14ac:dyDescent="0.2">
      <c r="A176" s="448"/>
      <c r="B176" s="448"/>
      <c r="C176" s="465"/>
      <c r="D176" s="465"/>
      <c r="E176" s="448"/>
      <c r="F176" s="448"/>
      <c r="G176" s="448"/>
    </row>
    <row r="177" spans="1:7" x14ac:dyDescent="0.2">
      <c r="A177" s="448"/>
      <c r="B177" s="448"/>
      <c r="C177" s="465"/>
      <c r="D177" s="465"/>
      <c r="E177" s="448"/>
      <c r="F177" s="448"/>
      <c r="G177" s="448"/>
    </row>
    <row r="178" spans="1:7" x14ac:dyDescent="0.2">
      <c r="A178" s="448"/>
      <c r="B178" s="448"/>
      <c r="C178" s="465"/>
      <c r="D178" s="465"/>
      <c r="E178" s="448"/>
      <c r="F178" s="448"/>
      <c r="G178" s="448"/>
    </row>
    <row r="179" spans="1:7" x14ac:dyDescent="0.2">
      <c r="A179" s="448"/>
      <c r="B179" s="448"/>
      <c r="C179" s="465"/>
      <c r="D179" s="465"/>
      <c r="E179" s="448"/>
      <c r="F179" s="448"/>
      <c r="G179" s="448"/>
    </row>
    <row r="180" spans="1:7" x14ac:dyDescent="0.2">
      <c r="A180" s="448"/>
      <c r="B180" s="448"/>
      <c r="C180" s="465"/>
      <c r="D180" s="465"/>
      <c r="E180" s="448"/>
      <c r="F180" s="448"/>
      <c r="G180" s="448"/>
    </row>
    <row r="181" spans="1:7" x14ac:dyDescent="0.2">
      <c r="A181" s="448"/>
      <c r="B181" s="448"/>
      <c r="C181" s="465"/>
      <c r="D181" s="465"/>
      <c r="E181" s="448"/>
      <c r="F181" s="448"/>
      <c r="G181" s="448"/>
    </row>
    <row r="182" spans="1:7" x14ac:dyDescent="0.2">
      <c r="A182" s="448"/>
      <c r="B182" s="448"/>
      <c r="C182" s="465"/>
      <c r="D182" s="465"/>
      <c r="E182" s="448"/>
      <c r="F182" s="448"/>
      <c r="G182" s="448"/>
    </row>
    <row r="183" spans="1:7" x14ac:dyDescent="0.2">
      <c r="A183" s="448"/>
      <c r="B183" s="448"/>
      <c r="C183" s="465"/>
      <c r="D183" s="465"/>
      <c r="E183" s="448"/>
      <c r="F183" s="448"/>
      <c r="G183" s="448"/>
    </row>
    <row r="184" spans="1:7" x14ac:dyDescent="0.2">
      <c r="A184" s="74"/>
      <c r="B184" s="74"/>
      <c r="C184" s="201"/>
      <c r="D184" s="201"/>
      <c r="E184" s="74"/>
      <c r="F184" s="448"/>
      <c r="G184" s="448"/>
    </row>
    <row r="185" spans="1:7" x14ac:dyDescent="0.2">
      <c r="A185" s="37"/>
      <c r="B185" s="37"/>
      <c r="C185" s="72"/>
      <c r="D185" s="69"/>
      <c r="E185" s="72"/>
      <c r="F185" s="448"/>
      <c r="G185" s="448"/>
    </row>
    <row r="186" spans="1:7" x14ac:dyDescent="0.2">
      <c r="A186" s="37"/>
      <c r="B186" s="37"/>
      <c r="C186" s="63"/>
      <c r="D186" s="63"/>
      <c r="E186" s="72"/>
      <c r="F186" s="448"/>
      <c r="G186" s="448"/>
    </row>
    <row r="187" spans="1:7" x14ac:dyDescent="0.2">
      <c r="A187" s="64"/>
      <c r="B187" s="64"/>
      <c r="C187" s="202"/>
      <c r="D187" s="202"/>
      <c r="E187" s="64"/>
      <c r="F187" s="448"/>
      <c r="G187" s="448"/>
    </row>
    <row r="188" spans="1:7" x14ac:dyDescent="0.2">
      <c r="A188" s="37"/>
      <c r="B188" s="37"/>
      <c r="C188" s="72"/>
      <c r="D188" s="69"/>
      <c r="E188" s="72"/>
      <c r="F188" s="448"/>
      <c r="G188" s="448"/>
    </row>
    <row r="189" spans="1:7" x14ac:dyDescent="0.2">
      <c r="A189" s="37"/>
      <c r="B189" s="37"/>
      <c r="C189" s="35"/>
      <c r="D189" s="63"/>
      <c r="E189" s="35"/>
      <c r="F189" s="448"/>
      <c r="G189" s="448"/>
    </row>
    <row r="190" spans="1:7" x14ac:dyDescent="0.2">
      <c r="A190" s="448"/>
      <c r="B190" s="448"/>
      <c r="C190" s="465"/>
      <c r="D190" s="465"/>
      <c r="E190" s="448"/>
      <c r="F190" s="448"/>
      <c r="G190" s="448"/>
    </row>
    <row r="191" spans="1:7" x14ac:dyDescent="0.2">
      <c r="A191" s="448"/>
      <c r="B191" s="448"/>
      <c r="C191" s="465"/>
      <c r="D191" s="465"/>
      <c r="E191" s="448"/>
      <c r="F191" s="448"/>
      <c r="G191" s="448"/>
    </row>
    <row r="192" spans="1:7" x14ac:dyDescent="0.2">
      <c r="A192" s="448"/>
      <c r="B192" s="470"/>
      <c r="C192" s="471"/>
      <c r="D192" s="471"/>
      <c r="E192" s="470"/>
      <c r="F192" s="470"/>
      <c r="G192" s="470"/>
    </row>
    <row r="193" spans="1:7" x14ac:dyDescent="0.2">
      <c r="A193" s="71"/>
      <c r="B193" s="71"/>
      <c r="C193" s="200"/>
      <c r="D193" s="200"/>
      <c r="E193" s="71"/>
      <c r="F193" s="71"/>
      <c r="G193" s="71"/>
    </row>
    <row r="194" spans="1:7" x14ac:dyDescent="0.2">
      <c r="A194" s="70"/>
      <c r="B194" s="71"/>
      <c r="C194" s="38"/>
      <c r="D194" s="38"/>
      <c r="E194" s="70"/>
      <c r="F194" s="70"/>
      <c r="G194" s="472"/>
    </row>
    <row r="195" spans="1:7" x14ac:dyDescent="0.2">
      <c r="A195" s="448"/>
      <c r="B195" s="463"/>
      <c r="C195" s="38"/>
      <c r="D195" s="38"/>
      <c r="E195" s="448"/>
      <c r="F195" s="448"/>
      <c r="G195" s="473"/>
    </row>
    <row r="196" spans="1:7" x14ac:dyDescent="0.2">
      <c r="A196" s="448"/>
      <c r="B196" s="463"/>
      <c r="C196" s="38"/>
      <c r="D196" s="38"/>
      <c r="E196" s="448"/>
      <c r="F196" s="448"/>
      <c r="G196" s="473"/>
    </row>
    <row r="197" spans="1:7" x14ac:dyDescent="0.2">
      <c r="A197" s="459"/>
      <c r="B197" s="463"/>
      <c r="C197" s="38"/>
      <c r="D197" s="38"/>
      <c r="E197" s="448"/>
      <c r="F197" s="448"/>
      <c r="G197" s="473"/>
    </row>
    <row r="198" spans="1:7" x14ac:dyDescent="0.2">
      <c r="A198" s="448"/>
      <c r="B198" s="463"/>
      <c r="C198" s="465"/>
      <c r="D198" s="38"/>
      <c r="E198" s="448"/>
      <c r="F198" s="448"/>
      <c r="G198" s="473"/>
    </row>
    <row r="199" spans="1:7" x14ac:dyDescent="0.2">
      <c r="A199" s="448"/>
      <c r="B199" s="463"/>
      <c r="C199" s="465"/>
      <c r="D199" s="38"/>
      <c r="E199" s="448"/>
      <c r="F199" s="448"/>
      <c r="G199" s="473"/>
    </row>
    <row r="200" spans="1:7" x14ac:dyDescent="0.2">
      <c r="A200" s="448"/>
      <c r="B200" s="463"/>
      <c r="C200" s="465"/>
      <c r="D200" s="38"/>
      <c r="E200" s="448"/>
      <c r="F200" s="448"/>
      <c r="G200" s="473"/>
    </row>
    <row r="201" spans="1:7" x14ac:dyDescent="0.2">
      <c r="A201" s="448"/>
      <c r="B201" s="448"/>
      <c r="C201" s="465"/>
      <c r="D201" s="465"/>
      <c r="E201" s="448"/>
      <c r="F201" s="448"/>
      <c r="G201" s="448"/>
    </row>
    <row r="202" spans="1:7" x14ac:dyDescent="0.2">
      <c r="A202" s="448"/>
      <c r="B202" s="448"/>
      <c r="C202" s="465"/>
      <c r="D202" s="465"/>
      <c r="E202" s="448"/>
      <c r="F202" s="448"/>
      <c r="G202" s="448"/>
    </row>
    <row r="203" spans="1:7" x14ac:dyDescent="0.2">
      <c r="A203" s="448"/>
      <c r="B203" s="448"/>
      <c r="C203" s="465"/>
      <c r="D203" s="465"/>
      <c r="E203" s="448"/>
      <c r="F203" s="448"/>
      <c r="G203" s="448"/>
    </row>
    <row r="204" spans="1:7" x14ac:dyDescent="0.2">
      <c r="A204" s="448"/>
      <c r="B204" s="448"/>
      <c r="C204" s="465"/>
      <c r="D204" s="465"/>
      <c r="E204" s="448"/>
      <c r="F204" s="448"/>
      <c r="G204" s="448"/>
    </row>
    <row r="205" spans="1:7" x14ac:dyDescent="0.2">
      <c r="A205" s="448"/>
      <c r="B205" s="448"/>
      <c r="C205" s="465"/>
      <c r="D205" s="465"/>
      <c r="E205" s="448"/>
      <c r="F205" s="448"/>
      <c r="G205" s="448"/>
    </row>
    <row r="206" spans="1:7" x14ac:dyDescent="0.2">
      <c r="A206" s="448"/>
      <c r="B206" s="448"/>
      <c r="C206" s="465"/>
      <c r="D206" s="465"/>
      <c r="E206" s="448"/>
      <c r="F206" s="448"/>
      <c r="G206" s="448"/>
    </row>
    <row r="207" spans="1:7" x14ac:dyDescent="0.2">
      <c r="A207" s="448"/>
      <c r="B207" s="448"/>
      <c r="C207" s="465"/>
      <c r="D207" s="465"/>
      <c r="E207" s="448"/>
      <c r="F207" s="448"/>
      <c r="G207" s="448"/>
    </row>
    <row r="208" spans="1:7" x14ac:dyDescent="0.2">
      <c r="A208" s="448"/>
      <c r="B208" s="448"/>
      <c r="C208" s="465"/>
      <c r="D208" s="465"/>
      <c r="E208" s="448"/>
      <c r="F208" s="448"/>
      <c r="G208" s="448"/>
    </row>
    <row r="209" spans="1:8" x14ac:dyDescent="0.2">
      <c r="A209" s="448"/>
      <c r="B209" s="448"/>
      <c r="C209" s="465"/>
      <c r="D209" s="465"/>
      <c r="E209" s="448"/>
      <c r="F209" s="448"/>
      <c r="G209" s="448"/>
    </row>
    <row r="210" spans="1:8" x14ac:dyDescent="0.2">
      <c r="A210" s="448"/>
      <c r="B210" s="448"/>
      <c r="C210" s="465"/>
      <c r="D210" s="465"/>
      <c r="E210" s="448"/>
      <c r="F210" s="448"/>
      <c r="G210" s="448"/>
    </row>
    <row r="211" spans="1:8" x14ac:dyDescent="0.2">
      <c r="A211" s="448"/>
      <c r="B211" s="448"/>
      <c r="C211" s="465"/>
      <c r="D211" s="465"/>
      <c r="E211" s="448"/>
      <c r="F211" s="448"/>
      <c r="G211" s="448"/>
    </row>
    <row r="212" spans="1:8" x14ac:dyDescent="0.2">
      <c r="A212" s="448"/>
      <c r="B212" s="448"/>
      <c r="C212" s="465"/>
      <c r="D212" s="465"/>
      <c r="E212" s="448"/>
      <c r="F212" s="448"/>
      <c r="G212" s="448"/>
    </row>
    <row r="213" spans="1:8" x14ac:dyDescent="0.2">
      <c r="A213" s="448"/>
      <c r="B213" s="448"/>
      <c r="C213" s="465"/>
      <c r="D213" s="465"/>
      <c r="E213" s="448"/>
      <c r="F213" s="448"/>
      <c r="G213" s="448"/>
    </row>
    <row r="214" spans="1:8" x14ac:dyDescent="0.2">
      <c r="A214" s="448"/>
      <c r="B214" s="448"/>
      <c r="C214" s="465"/>
      <c r="D214" s="465"/>
      <c r="E214" s="448"/>
      <c r="F214" s="448"/>
      <c r="G214" s="448"/>
    </row>
    <row r="215" spans="1:8" x14ac:dyDescent="0.2">
      <c r="A215" s="448"/>
      <c r="B215" s="448"/>
      <c r="C215" s="465"/>
      <c r="D215" s="465"/>
      <c r="E215" s="448"/>
      <c r="F215" s="448"/>
      <c r="G215" s="448"/>
    </row>
    <row r="216" spans="1:8" x14ac:dyDescent="0.2">
      <c r="A216" s="448"/>
      <c r="B216" s="448"/>
      <c r="C216" s="465"/>
      <c r="D216" s="465"/>
      <c r="E216" s="448"/>
      <c r="F216" s="448"/>
      <c r="G216" s="448"/>
    </row>
    <row r="217" spans="1:8" x14ac:dyDescent="0.2">
      <c r="A217" s="448"/>
      <c r="B217" s="448"/>
      <c r="C217" s="465"/>
      <c r="D217" s="465"/>
      <c r="E217" s="448"/>
      <c r="F217" s="448"/>
      <c r="G217" s="448"/>
    </row>
    <row r="218" spans="1:8" x14ac:dyDescent="0.2">
      <c r="A218" s="448"/>
      <c r="B218" s="448"/>
      <c r="C218" s="465"/>
      <c r="D218" s="465"/>
      <c r="E218" s="448"/>
      <c r="F218" s="448"/>
      <c r="G218" s="448"/>
    </row>
    <row r="219" spans="1:8" x14ac:dyDescent="0.2">
      <c r="A219" s="448"/>
      <c r="B219" s="448"/>
      <c r="C219" s="465"/>
      <c r="D219" s="465"/>
      <c r="E219" s="448"/>
      <c r="F219" s="448"/>
      <c r="G219" s="448"/>
    </row>
    <row r="220" spans="1:8" x14ac:dyDescent="0.2">
      <c r="A220" s="448"/>
      <c r="B220" s="448"/>
      <c r="C220" s="465"/>
      <c r="D220" s="465"/>
      <c r="E220" s="448"/>
      <c r="F220" s="448"/>
      <c r="G220" s="448"/>
      <c r="H220" s="448"/>
    </row>
  </sheetData>
  <mergeCells count="10">
    <mergeCell ref="B3:E3"/>
    <mergeCell ref="A146:G146"/>
    <mergeCell ref="A145:G145"/>
    <mergeCell ref="A4:G4"/>
    <mergeCell ref="A1:A3"/>
    <mergeCell ref="B1:E1"/>
    <mergeCell ref="B2:E2"/>
    <mergeCell ref="F1:G1"/>
    <mergeCell ref="F2:G2"/>
    <mergeCell ref="F3:G3"/>
  </mergeCells>
  <printOptions horizontalCentered="1"/>
  <pageMargins left="0.39370078740157483" right="0.39370078740157483" top="0.47" bottom="0.23622047244094491" header="0.39" footer="0.15748031496062992"/>
  <pageSetup paperSize="8" fitToHeight="0" orientation="portrait" r:id="rId1"/>
  <rowBreaks count="2" manualBreakCount="2">
    <brk id="60" max="6" man="1"/>
    <brk id="112" max="6" man="1"/>
  </rowBreaks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9"/>
  <sheetViews>
    <sheetView showGridLines="0" view="pageBreakPreview" topLeftCell="A28" zoomScaleNormal="90" zoomScaleSheetLayoutView="100" workbookViewId="0">
      <selection activeCell="N15" sqref="N15"/>
    </sheetView>
  </sheetViews>
  <sheetFormatPr defaultRowHeight="15" x14ac:dyDescent="0.2"/>
  <cols>
    <col min="1" max="1" width="9.140625" style="24"/>
    <col min="2" max="2" width="11.28515625" style="24" customWidth="1"/>
    <col min="3" max="3" width="15.7109375" style="24" customWidth="1"/>
    <col min="4" max="4" width="19" style="24" customWidth="1"/>
    <col min="5" max="5" width="9.5703125" style="24" customWidth="1"/>
    <col min="6" max="6" width="15.5703125" style="24" customWidth="1"/>
    <col min="7" max="7" width="15.7109375" style="24" customWidth="1"/>
    <col min="8" max="12" width="13.7109375" style="24" customWidth="1"/>
    <col min="13" max="14" width="13.140625" style="24" customWidth="1"/>
    <col min="15" max="15" width="13.42578125" style="24" customWidth="1"/>
    <col min="16" max="16" width="4.5703125" style="24" customWidth="1"/>
    <col min="17" max="16384" width="9.140625" style="24"/>
  </cols>
  <sheetData>
    <row r="1" spans="2:16" ht="18.75" customHeight="1" thickBot="1" x14ac:dyDescent="0.25"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26"/>
      <c r="N1" s="26"/>
      <c r="O1" s="40"/>
    </row>
    <row r="2" spans="2:16" ht="18.75" customHeight="1" x14ac:dyDescent="0.2">
      <c r="B2" s="509"/>
      <c r="C2" s="510"/>
      <c r="D2" s="525" t="s">
        <v>747</v>
      </c>
      <c r="E2" s="526"/>
      <c r="F2" s="526"/>
      <c r="G2" s="526"/>
      <c r="H2" s="526"/>
      <c r="I2" s="526"/>
      <c r="J2" s="526"/>
      <c r="K2" s="526"/>
      <c r="L2" s="526"/>
      <c r="M2" s="527"/>
      <c r="N2" s="509" t="s">
        <v>748</v>
      </c>
      <c r="O2" s="510"/>
    </row>
    <row r="3" spans="2:16" ht="18.75" customHeight="1" x14ac:dyDescent="0.2">
      <c r="B3" s="758"/>
      <c r="C3" s="759"/>
      <c r="D3" s="528" t="s">
        <v>749</v>
      </c>
      <c r="E3" s="529"/>
      <c r="F3" s="529"/>
      <c r="G3" s="529"/>
      <c r="H3" s="529"/>
      <c r="I3" s="529"/>
      <c r="J3" s="529"/>
      <c r="K3" s="529"/>
      <c r="L3" s="529"/>
      <c r="M3" s="530"/>
      <c r="N3" s="511">
        <f ca="1">NOW()</f>
        <v>43761.736742476853</v>
      </c>
      <c r="O3" s="512"/>
    </row>
    <row r="4" spans="2:16" ht="18.75" customHeight="1" thickBot="1" x14ac:dyDescent="0.25">
      <c r="B4" s="758"/>
      <c r="C4" s="759"/>
      <c r="D4" s="531" t="s">
        <v>750</v>
      </c>
      <c r="E4" s="532"/>
      <c r="F4" s="532"/>
      <c r="G4" s="532"/>
      <c r="H4" s="532"/>
      <c r="I4" s="532"/>
      <c r="J4" s="532"/>
      <c r="K4" s="532"/>
      <c r="L4" s="532"/>
      <c r="M4" s="533"/>
      <c r="N4" s="513" t="s">
        <v>313</v>
      </c>
      <c r="O4" s="514"/>
    </row>
    <row r="5" spans="2:16" x14ac:dyDescent="0.2">
      <c r="B5" s="729" t="s">
        <v>751</v>
      </c>
      <c r="C5" s="730"/>
      <c r="D5" s="517">
        <f ca="1">NOW()</f>
        <v>43761.736742476853</v>
      </c>
      <c r="E5" s="517"/>
      <c r="F5" s="517"/>
      <c r="G5" s="517"/>
      <c r="H5" s="517"/>
      <c r="I5" s="731" t="str">
        <f>'B1- ORÇAMENTO - PEV'!D6</f>
        <v>REF. SINAPI - 08/2019</v>
      </c>
      <c r="J5" s="731"/>
      <c r="K5" s="731"/>
      <c r="L5" s="731"/>
      <c r="M5" s="731"/>
      <c r="N5" s="731"/>
      <c r="O5" s="732"/>
    </row>
    <row r="6" spans="2:16" x14ac:dyDescent="0.2">
      <c r="B6" s="726" t="s">
        <v>752</v>
      </c>
      <c r="C6" s="515"/>
      <c r="D6" s="518" t="s">
        <v>768</v>
      </c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9"/>
    </row>
    <row r="7" spans="2:16" x14ac:dyDescent="0.2">
      <c r="B7" s="726" t="s">
        <v>753</v>
      </c>
      <c r="C7" s="515"/>
      <c r="D7" s="518" t="str">
        <f>'B1- ORÇAMENTO - PEV'!B8</f>
        <v>NÚCLEO RURAL ALAGADO - PRÓXIMO AO CONJUNTO C DA AC-105</v>
      </c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9"/>
    </row>
    <row r="8" spans="2:16" ht="15.75" thickBot="1" x14ac:dyDescent="0.25">
      <c r="B8" s="727" t="s">
        <v>754</v>
      </c>
      <c r="C8" s="728"/>
      <c r="D8" s="520" t="str">
        <f>'B1- ORÇAMENTO - PEV'!$B$9</f>
        <v>PEV - SANTA MARIA</v>
      </c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1"/>
    </row>
    <row r="9" spans="2:16" ht="33" customHeight="1" thickBot="1" x14ac:dyDescent="0.25">
      <c r="B9" s="723" t="s">
        <v>756</v>
      </c>
      <c r="C9" s="724"/>
      <c r="D9" s="724"/>
      <c r="E9" s="724"/>
      <c r="F9" s="724"/>
      <c r="G9" s="724"/>
      <c r="H9" s="724"/>
      <c r="I9" s="724"/>
      <c r="J9" s="724"/>
      <c r="K9" s="724"/>
      <c r="L9" s="724"/>
      <c r="M9" s="724"/>
      <c r="N9" s="724"/>
      <c r="O9" s="725"/>
    </row>
    <row r="10" spans="2:16" ht="15" customHeight="1" x14ac:dyDescent="0.2">
      <c r="B10" s="737" t="s">
        <v>1</v>
      </c>
      <c r="C10" s="739" t="s">
        <v>103</v>
      </c>
      <c r="D10" s="739"/>
      <c r="E10" s="739"/>
      <c r="F10" s="739" t="s">
        <v>104</v>
      </c>
      <c r="G10" s="741" t="s">
        <v>117</v>
      </c>
      <c r="H10" s="741"/>
      <c r="I10" s="741"/>
      <c r="J10" s="741"/>
      <c r="K10" s="741"/>
      <c r="L10" s="741"/>
      <c r="M10" s="741"/>
      <c r="N10" s="741"/>
      <c r="O10" s="742" t="s">
        <v>105</v>
      </c>
    </row>
    <row r="11" spans="2:16" x14ac:dyDescent="0.2">
      <c r="B11" s="738"/>
      <c r="C11" s="740"/>
      <c r="D11" s="740"/>
      <c r="E11" s="740"/>
      <c r="F11" s="740"/>
      <c r="G11" s="744" t="s">
        <v>314</v>
      </c>
      <c r="H11" s="744"/>
      <c r="I11" s="713" t="s">
        <v>643</v>
      </c>
      <c r="J11" s="714"/>
      <c r="K11" s="713" t="s">
        <v>796</v>
      </c>
      <c r="L11" s="714"/>
      <c r="M11" s="744" t="s">
        <v>795</v>
      </c>
      <c r="N11" s="744"/>
      <c r="O11" s="743"/>
    </row>
    <row r="12" spans="2:16" ht="24.95" customHeight="1" x14ac:dyDescent="0.2">
      <c r="B12" s="738"/>
      <c r="C12" s="740"/>
      <c r="D12" s="740"/>
      <c r="E12" s="740"/>
      <c r="F12" s="740"/>
      <c r="G12" s="242" t="s">
        <v>315</v>
      </c>
      <c r="H12" s="242" t="s">
        <v>315</v>
      </c>
      <c r="I12" s="242" t="s">
        <v>315</v>
      </c>
      <c r="J12" s="242" t="s">
        <v>315</v>
      </c>
      <c r="K12" s="291" t="s">
        <v>315</v>
      </c>
      <c r="L12" s="291" t="s">
        <v>315</v>
      </c>
      <c r="M12" s="242" t="s">
        <v>315</v>
      </c>
      <c r="N12" s="242" t="s">
        <v>315</v>
      </c>
      <c r="O12" s="743"/>
    </row>
    <row r="13" spans="2:16" ht="15" customHeight="1" x14ac:dyDescent="0.2">
      <c r="B13" s="88" t="s">
        <v>320</v>
      </c>
      <c r="C13" s="761" t="s">
        <v>5</v>
      </c>
      <c r="D13" s="761"/>
      <c r="E13" s="761"/>
      <c r="F13" s="89"/>
      <c r="G13" s="89"/>
      <c r="H13" s="89"/>
      <c r="I13" s="89"/>
      <c r="J13" s="89"/>
      <c r="K13" s="89"/>
      <c r="L13" s="89"/>
      <c r="M13" s="89"/>
      <c r="N13" s="89"/>
      <c r="O13" s="92"/>
      <c r="P13" s="85">
        <f>O13-F13</f>
        <v>0</v>
      </c>
    </row>
    <row r="14" spans="2:16" ht="24.75" customHeight="1" x14ac:dyDescent="0.2">
      <c r="B14" s="47"/>
      <c r="C14" s="733"/>
      <c r="D14" s="734"/>
      <c r="E14" s="735"/>
      <c r="F14" s="101"/>
      <c r="G14" s="102"/>
      <c r="H14" s="102"/>
      <c r="I14" s="102"/>
      <c r="J14" s="102"/>
      <c r="K14" s="102"/>
      <c r="L14" s="102"/>
      <c r="M14" s="102"/>
      <c r="N14" s="102"/>
      <c r="O14" s="103"/>
    </row>
    <row r="15" spans="2:16" ht="28.5" customHeight="1" x14ac:dyDescent="0.2">
      <c r="B15" s="88" t="s">
        <v>321</v>
      </c>
      <c r="C15" s="762" t="s">
        <v>110</v>
      </c>
      <c r="D15" s="762"/>
      <c r="E15" s="762"/>
      <c r="F15" s="89"/>
      <c r="G15" s="91"/>
      <c r="H15" s="91"/>
      <c r="I15" s="91"/>
      <c r="J15" s="91"/>
      <c r="K15" s="91"/>
      <c r="L15" s="91"/>
      <c r="M15" s="90"/>
      <c r="N15" s="90"/>
      <c r="O15" s="92"/>
      <c r="P15" s="85">
        <f t="shared" ref="P15:P33" si="0">O15-F15</f>
        <v>0</v>
      </c>
    </row>
    <row r="16" spans="2:16" ht="24.75" customHeight="1" x14ac:dyDescent="0.2">
      <c r="B16" s="47"/>
      <c r="C16" s="763"/>
      <c r="D16" s="764"/>
      <c r="E16" s="765"/>
      <c r="F16" s="43"/>
      <c r="G16" s="46"/>
      <c r="H16" s="46"/>
      <c r="I16" s="46"/>
      <c r="J16" s="46"/>
      <c r="K16" s="46"/>
      <c r="L16" s="46"/>
      <c r="M16" s="46"/>
      <c r="N16" s="46"/>
      <c r="O16" s="44"/>
    </row>
    <row r="17" spans="2:16" x14ac:dyDescent="0.2">
      <c r="B17" s="93" t="s">
        <v>262</v>
      </c>
      <c r="C17" s="736" t="s">
        <v>316</v>
      </c>
      <c r="D17" s="736"/>
      <c r="E17" s="736"/>
      <c r="F17" s="89"/>
      <c r="G17" s="94"/>
      <c r="H17" s="94"/>
      <c r="I17" s="94"/>
      <c r="J17" s="94"/>
      <c r="K17" s="94"/>
      <c r="L17" s="94"/>
      <c r="M17" s="91"/>
      <c r="N17" s="91"/>
      <c r="O17" s="92"/>
      <c r="P17" s="85">
        <f t="shared" si="0"/>
        <v>0</v>
      </c>
    </row>
    <row r="18" spans="2:16" ht="24.75" customHeight="1" x14ac:dyDescent="0.2">
      <c r="B18" s="47"/>
      <c r="C18" s="733"/>
      <c r="D18" s="734"/>
      <c r="E18" s="735"/>
      <c r="F18" s="43"/>
      <c r="G18" s="84"/>
      <c r="H18" s="84"/>
      <c r="I18" s="84"/>
      <c r="J18" s="46"/>
      <c r="K18" s="46"/>
      <c r="L18" s="46"/>
      <c r="M18" s="49"/>
      <c r="N18" s="49"/>
      <c r="O18" s="44"/>
    </row>
    <row r="19" spans="2:16" x14ac:dyDescent="0.2">
      <c r="B19" s="95" t="s">
        <v>263</v>
      </c>
      <c r="C19" s="736" t="s">
        <v>3</v>
      </c>
      <c r="D19" s="736"/>
      <c r="E19" s="736"/>
      <c r="F19" s="89"/>
      <c r="G19" s="96"/>
      <c r="H19" s="96"/>
      <c r="I19" s="96"/>
      <c r="J19" s="94"/>
      <c r="K19" s="94"/>
      <c r="L19" s="94"/>
      <c r="M19" s="96"/>
      <c r="N19" s="96"/>
      <c r="O19" s="92"/>
      <c r="P19" s="85">
        <f t="shared" si="0"/>
        <v>0</v>
      </c>
    </row>
    <row r="20" spans="2:16" ht="24.75" customHeight="1" x14ac:dyDescent="0.2">
      <c r="B20" s="47"/>
      <c r="C20" s="733"/>
      <c r="D20" s="734"/>
      <c r="E20" s="735"/>
      <c r="F20" s="43"/>
      <c r="G20" s="25"/>
      <c r="H20" s="84"/>
      <c r="I20" s="84"/>
      <c r="J20" s="46"/>
      <c r="K20" s="46"/>
      <c r="L20" s="46"/>
      <c r="M20" s="50"/>
      <c r="N20" s="50"/>
      <c r="O20" s="44"/>
    </row>
    <row r="21" spans="2:16" x14ac:dyDescent="0.2">
      <c r="B21" s="95" t="s">
        <v>106</v>
      </c>
      <c r="C21" s="736" t="s">
        <v>317</v>
      </c>
      <c r="D21" s="736"/>
      <c r="E21" s="736"/>
      <c r="F21" s="89"/>
      <c r="G21" s="97"/>
      <c r="H21" s="97"/>
      <c r="I21" s="97"/>
      <c r="J21" s="97"/>
      <c r="K21" s="97"/>
      <c r="L21" s="97"/>
      <c r="M21" s="97"/>
      <c r="N21" s="91"/>
      <c r="O21" s="92"/>
      <c r="P21" s="85">
        <f t="shared" si="0"/>
        <v>0</v>
      </c>
    </row>
    <row r="22" spans="2:16" ht="24.75" customHeight="1" x14ac:dyDescent="0.2">
      <c r="B22" s="47"/>
      <c r="C22" s="733"/>
      <c r="D22" s="734"/>
      <c r="E22" s="735"/>
      <c r="F22" s="43"/>
      <c r="G22" s="48"/>
      <c r="H22" s="84"/>
      <c r="I22" s="84"/>
      <c r="J22" s="84"/>
      <c r="K22" s="84"/>
      <c r="L22" s="84"/>
      <c r="M22" s="84"/>
      <c r="N22" s="48"/>
      <c r="O22" s="44"/>
    </row>
    <row r="23" spans="2:16" ht="15" customHeight="1" x14ac:dyDescent="0.2">
      <c r="B23" s="95" t="s">
        <v>264</v>
      </c>
      <c r="C23" s="736" t="s">
        <v>6</v>
      </c>
      <c r="D23" s="736"/>
      <c r="E23" s="736"/>
      <c r="F23" s="89"/>
      <c r="G23" s="98"/>
      <c r="H23" s="98"/>
      <c r="I23" s="98"/>
      <c r="J23" s="98"/>
      <c r="K23" s="98"/>
      <c r="L23" s="98"/>
      <c r="M23" s="98"/>
      <c r="N23" s="98"/>
      <c r="O23" s="92"/>
      <c r="P23" s="85">
        <f t="shared" si="0"/>
        <v>0</v>
      </c>
    </row>
    <row r="24" spans="2:16" ht="24.75" customHeight="1" x14ac:dyDescent="0.2">
      <c r="B24" s="47"/>
      <c r="C24" s="733"/>
      <c r="D24" s="734"/>
      <c r="E24" s="735"/>
      <c r="F24" s="43"/>
      <c r="G24" s="48"/>
      <c r="H24" s="48"/>
      <c r="I24" s="48"/>
      <c r="J24" s="48"/>
      <c r="K24" s="48"/>
      <c r="L24" s="48"/>
      <c r="M24" s="84"/>
      <c r="N24" s="84"/>
      <c r="O24" s="44"/>
    </row>
    <row r="25" spans="2:16" ht="15" customHeight="1" x14ac:dyDescent="0.2">
      <c r="B25" s="95" t="s">
        <v>107</v>
      </c>
      <c r="C25" s="736" t="s">
        <v>7</v>
      </c>
      <c r="D25" s="736"/>
      <c r="E25" s="736"/>
      <c r="F25" s="89"/>
      <c r="G25" s="99"/>
      <c r="H25" s="99"/>
      <c r="I25" s="99"/>
      <c r="J25" s="99"/>
      <c r="K25" s="99"/>
      <c r="L25" s="99"/>
      <c r="M25" s="99"/>
      <c r="N25" s="99"/>
      <c r="O25" s="92"/>
      <c r="P25" s="85">
        <f t="shared" si="0"/>
        <v>0</v>
      </c>
    </row>
    <row r="26" spans="2:16" ht="24.75" customHeight="1" x14ac:dyDescent="0.2">
      <c r="B26" s="47"/>
      <c r="C26" s="745"/>
      <c r="D26" s="745"/>
      <c r="E26" s="745"/>
      <c r="F26" s="43"/>
      <c r="G26" s="48"/>
      <c r="H26" s="84"/>
      <c r="I26" s="84"/>
      <c r="J26" s="84"/>
      <c r="K26" s="84"/>
      <c r="L26" s="84"/>
      <c r="M26" s="84"/>
      <c r="N26" s="48"/>
      <c r="O26" s="44"/>
    </row>
    <row r="27" spans="2:16" x14ac:dyDescent="0.2">
      <c r="B27" s="95" t="s">
        <v>265</v>
      </c>
      <c r="C27" s="746" t="s">
        <v>322</v>
      </c>
      <c r="D27" s="736"/>
      <c r="E27" s="736"/>
      <c r="F27" s="89"/>
      <c r="G27" s="91"/>
      <c r="H27" s="91"/>
      <c r="I27" s="91"/>
      <c r="J27" s="91"/>
      <c r="K27" s="91"/>
      <c r="L27" s="91"/>
      <c r="M27" s="91"/>
      <c r="N27" s="91"/>
      <c r="O27" s="92"/>
      <c r="P27" s="85">
        <f t="shared" si="0"/>
        <v>0</v>
      </c>
    </row>
    <row r="28" spans="2:16" ht="24.75" customHeight="1" x14ac:dyDescent="0.2">
      <c r="B28" s="47"/>
      <c r="C28" s="745"/>
      <c r="D28" s="745"/>
      <c r="E28" s="745"/>
      <c r="F28" s="43"/>
      <c r="G28" s="48"/>
      <c r="H28" s="48"/>
      <c r="I28" s="48"/>
      <c r="J28" s="48"/>
      <c r="K28" s="48"/>
      <c r="L28" s="48"/>
      <c r="M28" s="84"/>
      <c r="N28" s="84"/>
      <c r="O28" s="44"/>
    </row>
    <row r="29" spans="2:16" x14ac:dyDescent="0.2">
      <c r="B29" s="95" t="s">
        <v>266</v>
      </c>
      <c r="C29" s="736" t="s">
        <v>111</v>
      </c>
      <c r="D29" s="736"/>
      <c r="E29" s="736"/>
      <c r="F29" s="89"/>
      <c r="G29" s="91"/>
      <c r="H29" s="91"/>
      <c r="I29" s="91"/>
      <c r="J29" s="91"/>
      <c r="K29" s="91"/>
      <c r="L29" s="100"/>
      <c r="M29" s="100"/>
      <c r="N29" s="100"/>
      <c r="O29" s="92"/>
      <c r="P29" s="85">
        <f t="shared" si="0"/>
        <v>0</v>
      </c>
    </row>
    <row r="30" spans="2:16" ht="24.75" customHeight="1" x14ac:dyDescent="0.2">
      <c r="B30" s="45"/>
      <c r="C30" s="745"/>
      <c r="D30" s="745"/>
      <c r="E30" s="745"/>
      <c r="F30" s="43"/>
      <c r="G30" s="48"/>
      <c r="H30" s="48"/>
      <c r="I30" s="84"/>
      <c r="J30" s="84"/>
      <c r="K30" s="84"/>
      <c r="L30" s="84"/>
      <c r="M30" s="84"/>
      <c r="N30" s="48"/>
      <c r="O30" s="44"/>
    </row>
    <row r="31" spans="2:16" ht="15" customHeight="1" x14ac:dyDescent="0.2">
      <c r="B31" s="95" t="s">
        <v>267</v>
      </c>
      <c r="C31" s="736" t="s">
        <v>319</v>
      </c>
      <c r="D31" s="736"/>
      <c r="E31" s="736"/>
      <c r="F31" s="89"/>
      <c r="G31" s="90"/>
      <c r="H31" s="90"/>
      <c r="I31" s="90"/>
      <c r="J31" s="90"/>
      <c r="K31" s="90"/>
      <c r="L31" s="90"/>
      <c r="M31" s="90"/>
      <c r="N31" s="90"/>
      <c r="O31" s="92"/>
      <c r="P31" s="85">
        <f t="shared" si="0"/>
        <v>0</v>
      </c>
    </row>
    <row r="32" spans="2:16" ht="24.75" customHeight="1" x14ac:dyDescent="0.2">
      <c r="B32" s="45"/>
      <c r="C32" s="766"/>
      <c r="D32" s="766"/>
      <c r="E32" s="766"/>
      <c r="F32" s="51"/>
      <c r="G32" s="48"/>
      <c r="H32" s="48"/>
      <c r="I32" s="84"/>
      <c r="J32" s="84"/>
      <c r="K32" s="84"/>
      <c r="L32" s="84"/>
      <c r="M32" s="84"/>
      <c r="N32" s="84"/>
      <c r="O32" s="44"/>
    </row>
    <row r="33" spans="1:18" ht="25.5" customHeight="1" x14ac:dyDescent="0.2">
      <c r="B33" s="95" t="s">
        <v>318</v>
      </c>
      <c r="C33" s="736" t="str">
        <f>'B1- ORÇAMENTO - PEV'!C203</f>
        <v>SERVIÇOS AUXILIARES E ADMINISTRATIVOS PESSOAL DA OBRA</v>
      </c>
      <c r="D33" s="736"/>
      <c r="E33" s="736"/>
      <c r="F33" s="89"/>
      <c r="G33" s="89"/>
      <c r="H33" s="89"/>
      <c r="I33" s="89"/>
      <c r="J33" s="89"/>
      <c r="K33" s="89"/>
      <c r="L33" s="89"/>
      <c r="M33" s="89"/>
      <c r="N33" s="89"/>
      <c r="O33" s="92"/>
      <c r="P33" s="85">
        <f t="shared" si="0"/>
        <v>0</v>
      </c>
    </row>
    <row r="34" spans="1:18" ht="24.75" customHeight="1" thickBot="1" x14ac:dyDescent="0.25">
      <c r="B34" s="297"/>
      <c r="C34" s="760"/>
      <c r="D34" s="760"/>
      <c r="E34" s="760"/>
      <c r="F34" s="298"/>
      <c r="G34" s="299"/>
      <c r="H34" s="299"/>
      <c r="I34" s="299"/>
      <c r="J34" s="299"/>
      <c r="K34" s="299"/>
      <c r="L34" s="299"/>
      <c r="M34" s="299"/>
      <c r="N34" s="299"/>
      <c r="O34" s="305"/>
      <c r="P34" s="85"/>
    </row>
    <row r="35" spans="1:18" ht="15.75" thickBot="1" x14ac:dyDescent="0.25">
      <c r="B35" s="749"/>
      <c r="C35" s="750"/>
      <c r="D35" s="750"/>
      <c r="E35" s="301"/>
      <c r="F35" s="302"/>
      <c r="G35" s="303"/>
      <c r="H35" s="303"/>
      <c r="I35" s="303"/>
      <c r="J35" s="303"/>
      <c r="K35" s="303"/>
      <c r="L35" s="303"/>
      <c r="M35" s="303"/>
      <c r="N35" s="303"/>
      <c r="O35" s="304"/>
      <c r="P35" s="85">
        <f>O35-F36</f>
        <v>0</v>
      </c>
    </row>
    <row r="36" spans="1:18" ht="21" customHeight="1" x14ac:dyDescent="0.2">
      <c r="B36" s="747" t="s">
        <v>108</v>
      </c>
      <c r="C36" s="748"/>
      <c r="D36" s="748"/>
      <c r="E36" s="748"/>
      <c r="F36" s="300"/>
      <c r="G36" s="715"/>
      <c r="H36" s="716"/>
      <c r="I36" s="715"/>
      <c r="J36" s="716"/>
      <c r="K36" s="715"/>
      <c r="L36" s="716"/>
      <c r="M36" s="715"/>
      <c r="N36" s="716"/>
      <c r="O36" s="306"/>
    </row>
    <row r="37" spans="1:18" ht="15" customHeight="1" thickBot="1" x14ac:dyDescent="0.25">
      <c r="B37" s="752" t="s">
        <v>112</v>
      </c>
      <c r="C37" s="753"/>
      <c r="D37" s="753"/>
      <c r="E37" s="753"/>
      <c r="F37" s="86"/>
      <c r="G37" s="717"/>
      <c r="H37" s="718"/>
      <c r="I37" s="717"/>
      <c r="J37" s="718"/>
      <c r="K37" s="717"/>
      <c r="L37" s="718"/>
      <c r="M37" s="717"/>
      <c r="N37" s="718"/>
      <c r="O37" s="87"/>
    </row>
    <row r="38" spans="1:18" ht="15" customHeight="1" x14ac:dyDescent="0.2">
      <c r="B38" s="754" t="s">
        <v>32</v>
      </c>
      <c r="C38" s="755"/>
      <c r="D38" s="755"/>
      <c r="E38" s="755"/>
      <c r="F38" s="104"/>
      <c r="G38" s="719"/>
      <c r="H38" s="720"/>
      <c r="I38" s="719"/>
      <c r="J38" s="720"/>
      <c r="K38" s="719"/>
      <c r="L38" s="720"/>
      <c r="M38" s="719"/>
      <c r="N38" s="720"/>
      <c r="O38" s="105"/>
    </row>
    <row r="39" spans="1:18" ht="15" customHeight="1" thickBot="1" x14ac:dyDescent="0.25">
      <c r="B39" s="756" t="s">
        <v>109</v>
      </c>
      <c r="C39" s="757"/>
      <c r="D39" s="757"/>
      <c r="E39" s="757"/>
      <c r="F39" s="52"/>
      <c r="G39" s="721"/>
      <c r="H39" s="722"/>
      <c r="I39" s="721"/>
      <c r="J39" s="722"/>
      <c r="K39" s="721"/>
      <c r="L39" s="722"/>
      <c r="M39" s="721"/>
      <c r="N39" s="722"/>
      <c r="O39" s="53"/>
    </row>
    <row r="40" spans="1:18" ht="51.75" customHeight="1" x14ac:dyDescent="0.2">
      <c r="A40" s="25"/>
      <c r="B40" s="28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25"/>
    </row>
    <row r="41" spans="1:18" x14ac:dyDescent="0.2">
      <c r="A41" s="25"/>
      <c r="B41" s="42"/>
      <c r="C41" s="579"/>
      <c r="D41" s="579"/>
      <c r="E41" s="579"/>
      <c r="F41" s="508"/>
      <c r="G41" s="508"/>
      <c r="H41" s="508"/>
      <c r="I41" s="508"/>
      <c r="J41" s="508"/>
      <c r="K41" s="508"/>
      <c r="L41" s="508"/>
      <c r="M41" s="508"/>
      <c r="N41" s="508"/>
      <c r="O41" s="280"/>
      <c r="P41" s="25"/>
    </row>
    <row r="42" spans="1:18" x14ac:dyDescent="0.2">
      <c r="A42" s="25"/>
      <c r="B42" s="42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25"/>
    </row>
    <row r="43" spans="1:18" x14ac:dyDescent="0.2">
      <c r="A43" s="25"/>
      <c r="B43" s="751"/>
      <c r="C43" s="751"/>
      <c r="D43" s="751"/>
      <c r="E43" s="751"/>
      <c r="F43" s="751"/>
      <c r="G43" s="751"/>
      <c r="H43" s="751"/>
      <c r="I43" s="751"/>
      <c r="J43" s="751"/>
      <c r="K43" s="751"/>
      <c r="L43" s="751"/>
      <c r="M43" s="751"/>
      <c r="N43" s="751"/>
      <c r="O43" s="751"/>
      <c r="P43" s="25"/>
    </row>
    <row r="44" spans="1:18" x14ac:dyDescent="0.2">
      <c r="A44" s="25"/>
      <c r="B44" s="751"/>
      <c r="C44" s="751"/>
      <c r="D44" s="751"/>
      <c r="E44" s="751"/>
      <c r="F44" s="751"/>
      <c r="G44" s="751"/>
      <c r="H44" s="751"/>
      <c r="I44" s="751"/>
      <c r="J44" s="751"/>
      <c r="K44" s="751"/>
      <c r="L44" s="751"/>
      <c r="M44" s="751"/>
      <c r="N44" s="751"/>
      <c r="O44" s="751"/>
      <c r="P44" s="25"/>
    </row>
    <row r="45" spans="1:18" x14ac:dyDescent="0.2">
      <c r="A45" s="25"/>
      <c r="B45" s="751"/>
      <c r="C45" s="751"/>
      <c r="D45" s="751"/>
      <c r="E45" s="751"/>
      <c r="F45" s="751"/>
      <c r="G45" s="751"/>
      <c r="H45" s="751"/>
      <c r="I45" s="751"/>
      <c r="J45" s="751"/>
      <c r="K45" s="751"/>
      <c r="L45" s="751"/>
      <c r="M45" s="751"/>
      <c r="N45" s="751"/>
      <c r="O45" s="751"/>
      <c r="P45" s="25"/>
    </row>
    <row r="46" spans="1:18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</sheetData>
  <mergeCells count="74">
    <mergeCell ref="B2:C4"/>
    <mergeCell ref="M38:N38"/>
    <mergeCell ref="G38:H38"/>
    <mergeCell ref="G37:H37"/>
    <mergeCell ref="G39:H39"/>
    <mergeCell ref="C34:E34"/>
    <mergeCell ref="C13:E13"/>
    <mergeCell ref="C15:E15"/>
    <mergeCell ref="C16:E16"/>
    <mergeCell ref="C18:E18"/>
    <mergeCell ref="C17:E17"/>
    <mergeCell ref="C20:E20"/>
    <mergeCell ref="C22:E22"/>
    <mergeCell ref="C31:E31"/>
    <mergeCell ref="C32:E32"/>
    <mergeCell ref="C30:E30"/>
    <mergeCell ref="M36:N36"/>
    <mergeCell ref="M37:N37"/>
    <mergeCell ref="M39:N39"/>
    <mergeCell ref="C29:E29"/>
    <mergeCell ref="I37:J37"/>
    <mergeCell ref="B37:E37"/>
    <mergeCell ref="B38:E38"/>
    <mergeCell ref="B39:E39"/>
    <mergeCell ref="G36:H36"/>
    <mergeCell ref="I36:J36"/>
    <mergeCell ref="F41:N41"/>
    <mergeCell ref="I38:J38"/>
    <mergeCell ref="I39:J39"/>
    <mergeCell ref="B45:O45"/>
    <mergeCell ref="C41:E41"/>
    <mergeCell ref="B43:O43"/>
    <mergeCell ref="B44:O44"/>
    <mergeCell ref="C25:E25"/>
    <mergeCell ref="C26:E26"/>
    <mergeCell ref="C27:E27"/>
    <mergeCell ref="B36:E36"/>
    <mergeCell ref="C28:E28"/>
    <mergeCell ref="C33:E33"/>
    <mergeCell ref="B35:D35"/>
    <mergeCell ref="B5:C5"/>
    <mergeCell ref="D5:H5"/>
    <mergeCell ref="I5:O5"/>
    <mergeCell ref="C14:E14"/>
    <mergeCell ref="C24:E24"/>
    <mergeCell ref="C21:E21"/>
    <mergeCell ref="C23:E23"/>
    <mergeCell ref="B10:B12"/>
    <mergeCell ref="C10:E12"/>
    <mergeCell ref="F10:F12"/>
    <mergeCell ref="G10:N10"/>
    <mergeCell ref="O10:O12"/>
    <mergeCell ref="M11:N11"/>
    <mergeCell ref="G11:H11"/>
    <mergeCell ref="I11:J11"/>
    <mergeCell ref="C19:E19"/>
    <mergeCell ref="B9:O9"/>
    <mergeCell ref="B6:C6"/>
    <mergeCell ref="B7:C7"/>
    <mergeCell ref="B8:C8"/>
    <mergeCell ref="D6:O6"/>
    <mergeCell ref="D7:O7"/>
    <mergeCell ref="D8:O8"/>
    <mergeCell ref="N2:O2"/>
    <mergeCell ref="N3:O3"/>
    <mergeCell ref="N4:O4"/>
    <mergeCell ref="D2:M2"/>
    <mergeCell ref="D3:M3"/>
    <mergeCell ref="D4:M4"/>
    <mergeCell ref="K11:L11"/>
    <mergeCell ref="K36:L36"/>
    <mergeCell ref="K37:L37"/>
    <mergeCell ref="K38:L38"/>
    <mergeCell ref="K39:L39"/>
  </mergeCells>
  <conditionalFormatting sqref="P13:P35">
    <cfRule type="expression" dxfId="0" priority="2">
      <formula>$O$13=$F$13</formula>
    </cfRule>
  </conditionalFormatting>
  <printOptions horizontalCentered="1"/>
  <pageMargins left="0.27559055118110237" right="0.27559055118110237" top="0.17" bottom="0.11" header="0.11" footer="0.08"/>
  <pageSetup paperSize="9" scale="67" fitToWidth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B75634A-891B-4163-8294-DEF719EE4F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P13:P35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39"/>
  <sheetViews>
    <sheetView showGridLines="0" view="pageBreakPreview" zoomScaleNormal="100" zoomScaleSheetLayoutView="100" workbookViewId="0">
      <selection activeCell="I19" sqref="I19"/>
    </sheetView>
  </sheetViews>
  <sheetFormatPr defaultRowHeight="12.75" x14ac:dyDescent="0.2"/>
  <cols>
    <col min="1" max="1" width="15.7109375" style="27" customWidth="1"/>
    <col min="2" max="2" width="33.85546875" style="27" customWidth="1"/>
    <col min="3" max="6" width="25.7109375" style="27" customWidth="1"/>
    <col min="7" max="7" width="20.140625" style="27" customWidth="1"/>
    <col min="8" max="8" width="22" style="27" customWidth="1"/>
    <col min="9" max="9" width="22.85546875" style="27" customWidth="1"/>
    <col min="10" max="10" width="20.85546875" style="27" customWidth="1"/>
    <col min="11" max="24" width="31" style="27" customWidth="1"/>
    <col min="25" max="27" width="19.42578125" style="27" customWidth="1"/>
    <col min="28" max="16384" width="9.140625" style="27"/>
  </cols>
  <sheetData>
    <row r="1" spans="1:35" ht="18.75" customHeight="1" x14ac:dyDescent="0.2">
      <c r="A1" s="767"/>
      <c r="B1" s="552" t="s">
        <v>747</v>
      </c>
      <c r="C1" s="553"/>
      <c r="D1" s="553"/>
      <c r="E1" s="554"/>
      <c r="F1" s="271" t="s">
        <v>748</v>
      </c>
    </row>
    <row r="2" spans="1:35" ht="18.75" customHeight="1" x14ac:dyDescent="0.2">
      <c r="A2" s="768"/>
      <c r="B2" s="555" t="s">
        <v>749</v>
      </c>
      <c r="C2" s="556"/>
      <c r="D2" s="556"/>
      <c r="E2" s="557"/>
      <c r="F2" s="272">
        <f ca="1">NOW()</f>
        <v>43761.736742476853</v>
      </c>
      <c r="G2"/>
    </row>
    <row r="3" spans="1:35" ht="18.75" customHeight="1" thickBot="1" x14ac:dyDescent="0.25">
      <c r="A3" s="769"/>
      <c r="B3" s="770" t="s">
        <v>750</v>
      </c>
      <c r="C3" s="771"/>
      <c r="D3" s="771"/>
      <c r="E3" s="772"/>
      <c r="F3" s="258" t="s">
        <v>758</v>
      </c>
      <c r="G3"/>
    </row>
    <row r="4" spans="1:35" ht="15" x14ac:dyDescent="0.2">
      <c r="A4" s="255" t="s">
        <v>751</v>
      </c>
      <c r="B4" s="773">
        <f ca="1">NOW()</f>
        <v>43761.736742476853</v>
      </c>
      <c r="C4" s="773"/>
      <c r="D4" s="292"/>
      <c r="E4" s="274" t="str">
        <f>'B1- ORÇAMENTO - PEV'!D6</f>
        <v>REF. SINAPI - 08/2019</v>
      </c>
      <c r="F4" s="275"/>
      <c r="G4"/>
    </row>
    <row r="5" spans="1:35" ht="15" x14ac:dyDescent="0.2">
      <c r="A5" s="256" t="s">
        <v>752</v>
      </c>
      <c r="B5" s="774" t="str">
        <f>'B1- ORÇAMENTO - PEV'!B7</f>
        <v>PONTO DE ENTREGA VOLUNTÁRIA DE PEQUENOS VOLUMES - PEV - PAPA ENTULHO</v>
      </c>
      <c r="C5" s="774"/>
      <c r="D5" s="774"/>
      <c r="E5" s="774"/>
      <c r="F5" s="775"/>
    </row>
    <row r="6" spans="1:35" ht="15" x14ac:dyDescent="0.2">
      <c r="A6" s="256" t="s">
        <v>753</v>
      </c>
      <c r="B6" s="774" t="str">
        <f>'B1- ORÇAMENTO - PEV'!B8</f>
        <v>NÚCLEO RURAL ALAGADO - PRÓXIMO AO CONJUNTO C DA AC-105</v>
      </c>
      <c r="C6" s="774"/>
      <c r="D6" s="774"/>
      <c r="E6" s="774"/>
      <c r="F6" s="775"/>
    </row>
    <row r="7" spans="1:35" ht="15.75" thickBot="1" x14ac:dyDescent="0.25">
      <c r="A7" s="257" t="s">
        <v>754</v>
      </c>
      <c r="B7" s="779" t="str">
        <f>'B1- ORÇAMENTO - PEV'!$B$9</f>
        <v>PEV - SANTA MARIA</v>
      </c>
      <c r="C7" s="779"/>
      <c r="D7" s="779"/>
      <c r="E7" s="779"/>
      <c r="F7" s="780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ht="33" customHeight="1" thickBot="1" x14ac:dyDescent="0.25">
      <c r="A8" s="723" t="s">
        <v>644</v>
      </c>
      <c r="B8" s="724"/>
      <c r="C8" s="724"/>
      <c r="D8" s="724"/>
      <c r="E8" s="724"/>
      <c r="F8" s="725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34.5" customHeight="1" thickBot="1" x14ac:dyDescent="0.25">
      <c r="A9" s="787" t="s">
        <v>646</v>
      </c>
      <c r="B9" s="788"/>
      <c r="C9" s="789" t="s">
        <v>323</v>
      </c>
      <c r="D9" s="790"/>
      <c r="E9" s="790"/>
      <c r="F9" s="791"/>
      <c r="H9" s="2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20.25" customHeight="1" thickBot="1" x14ac:dyDescent="0.25">
      <c r="A10" s="253" t="s">
        <v>647</v>
      </c>
      <c r="B10" s="254" t="s">
        <v>22</v>
      </c>
      <c r="C10" s="249" t="s">
        <v>133</v>
      </c>
      <c r="D10" s="295" t="s">
        <v>134</v>
      </c>
      <c r="E10" s="107" t="s">
        <v>645</v>
      </c>
      <c r="F10" s="108" t="s">
        <v>797</v>
      </c>
      <c r="G10" s="30"/>
    </row>
    <row r="11" spans="1:35" ht="17.25" customHeight="1" x14ac:dyDescent="0.2">
      <c r="A11" s="792">
        <v>2019</v>
      </c>
      <c r="B11" s="252" t="s">
        <v>135</v>
      </c>
      <c r="C11" s="56"/>
      <c r="D11" s="56"/>
      <c r="E11" s="56"/>
      <c r="F11" s="273"/>
      <c r="G11" s="31"/>
      <c r="H11" s="30"/>
    </row>
    <row r="12" spans="1:35" ht="15" customHeight="1" x14ac:dyDescent="0.2">
      <c r="A12" s="793"/>
      <c r="B12" s="251" t="s">
        <v>136</v>
      </c>
      <c r="C12" s="109"/>
      <c r="D12" s="110"/>
      <c r="E12" s="109"/>
      <c r="F12" s="296"/>
      <c r="G12" s="30"/>
      <c r="H12" s="32"/>
    </row>
    <row r="13" spans="1:35" ht="15.75" customHeight="1" thickBot="1" x14ac:dyDescent="0.25">
      <c r="A13" s="794"/>
      <c r="B13" s="250" t="s">
        <v>137</v>
      </c>
      <c r="C13" s="57"/>
      <c r="D13" s="106"/>
      <c r="E13" s="106"/>
      <c r="F13" s="58"/>
    </row>
    <row r="14" spans="1:35" ht="15" customHeight="1" x14ac:dyDescent="0.2">
      <c r="A14" s="781" t="s">
        <v>745</v>
      </c>
      <c r="B14" s="782"/>
      <c r="C14" s="782"/>
      <c r="D14" s="782"/>
      <c r="E14" s="783"/>
      <c r="F14" s="111"/>
    </row>
    <row r="15" spans="1:35" ht="15.75" thickBot="1" x14ac:dyDescent="0.25">
      <c r="A15" s="784" t="s">
        <v>138</v>
      </c>
      <c r="B15" s="785"/>
      <c r="C15" s="785"/>
      <c r="D15" s="785"/>
      <c r="E15" s="786"/>
      <c r="F15" s="59"/>
    </row>
    <row r="16" spans="1:35" ht="15" x14ac:dyDescent="0.2">
      <c r="A16" s="60"/>
      <c r="B16" s="60"/>
      <c r="C16" s="60"/>
      <c r="D16" s="60"/>
      <c r="E16" s="60"/>
      <c r="F16" s="282"/>
      <c r="G16" s="28"/>
    </row>
    <row r="17" spans="1:7" ht="15" x14ac:dyDescent="0.2">
      <c r="A17" s="60"/>
      <c r="B17" s="60"/>
      <c r="C17" s="60"/>
      <c r="D17" s="60"/>
      <c r="E17" s="60"/>
      <c r="F17" s="282"/>
      <c r="G17" s="28"/>
    </row>
    <row r="18" spans="1:7" ht="15" x14ac:dyDescent="0.2">
      <c r="A18" s="60"/>
      <c r="B18" s="60"/>
      <c r="C18" s="60"/>
      <c r="D18" s="60"/>
      <c r="E18" s="60"/>
      <c r="F18" s="282"/>
      <c r="G18" s="28"/>
    </row>
    <row r="19" spans="1:7" ht="15" x14ac:dyDescent="0.2">
      <c r="A19" s="60"/>
      <c r="B19" s="60"/>
      <c r="C19" s="60"/>
      <c r="D19" s="60"/>
      <c r="E19" s="60"/>
      <c r="F19" s="282"/>
      <c r="G19" s="28"/>
    </row>
    <row r="20" spans="1:7" ht="15" x14ac:dyDescent="0.2">
      <c r="A20" s="60"/>
      <c r="B20" s="60"/>
      <c r="C20" s="60"/>
      <c r="D20" s="60"/>
      <c r="E20" s="60"/>
      <c r="F20" s="282"/>
      <c r="G20" s="28"/>
    </row>
    <row r="21" spans="1:7" ht="15" x14ac:dyDescent="0.2">
      <c r="A21" s="60"/>
      <c r="B21" s="60"/>
      <c r="C21" s="60"/>
      <c r="D21" s="60"/>
      <c r="E21" s="60"/>
      <c r="F21" s="282"/>
      <c r="G21" s="28"/>
    </row>
    <row r="22" spans="1:7" x14ac:dyDescent="0.2">
      <c r="A22" s="28"/>
      <c r="B22" s="28"/>
      <c r="C22" s="28"/>
      <c r="D22" s="28"/>
      <c r="E22" s="28"/>
      <c r="F22" s="28"/>
      <c r="G22" s="28"/>
    </row>
    <row r="23" spans="1:7" x14ac:dyDescent="0.2">
      <c r="A23" s="28"/>
      <c r="B23" s="28"/>
      <c r="C23" s="28"/>
      <c r="D23" s="28"/>
      <c r="E23" s="28"/>
      <c r="F23" s="28"/>
      <c r="G23" s="28"/>
    </row>
    <row r="24" spans="1:7" x14ac:dyDescent="0.2">
      <c r="A24" s="579"/>
      <c r="B24" s="579"/>
      <c r="C24" s="508"/>
      <c r="D24" s="508"/>
      <c r="E24" s="508"/>
      <c r="F24" s="508"/>
      <c r="G24" s="28"/>
    </row>
    <row r="25" spans="1:7" x14ac:dyDescent="0.2">
      <c r="A25" s="508"/>
      <c r="B25" s="508"/>
      <c r="C25" s="508"/>
      <c r="D25" s="508"/>
      <c r="E25" s="508"/>
      <c r="F25" s="508"/>
      <c r="G25" s="28"/>
    </row>
    <row r="26" spans="1:7" x14ac:dyDescent="0.2">
      <c r="A26" s="508"/>
      <c r="B26" s="508"/>
      <c r="C26" s="508"/>
      <c r="D26" s="508"/>
      <c r="E26" s="508"/>
      <c r="F26" s="508"/>
      <c r="G26" s="28"/>
    </row>
    <row r="27" spans="1:7" x14ac:dyDescent="0.2">
      <c r="A27" s="579"/>
      <c r="B27" s="579"/>
      <c r="C27" s="579"/>
      <c r="D27" s="579"/>
      <c r="E27" s="579"/>
      <c r="F27" s="778"/>
      <c r="G27" s="28"/>
    </row>
    <row r="28" spans="1:7" x14ac:dyDescent="0.2">
      <c r="A28" s="61"/>
      <c r="B28" s="61"/>
      <c r="C28" s="61"/>
      <c r="D28" s="61"/>
      <c r="E28" s="61"/>
      <c r="F28" s="61"/>
      <c r="G28" s="28"/>
    </row>
    <row r="29" spans="1:7" x14ac:dyDescent="0.2">
      <c r="A29" s="28"/>
      <c r="B29" s="777"/>
      <c r="C29" s="777"/>
      <c r="D29" s="294"/>
      <c r="E29" s="76"/>
      <c r="F29" s="283"/>
      <c r="G29" s="28"/>
    </row>
    <row r="30" spans="1:7" ht="12.75" customHeight="1" x14ac:dyDescent="0.2">
      <c r="A30" s="28"/>
      <c r="B30" s="776"/>
      <c r="C30" s="776"/>
      <c r="D30" s="293"/>
      <c r="E30" s="78"/>
      <c r="F30" s="284"/>
      <c r="G30" s="28"/>
    </row>
    <row r="31" spans="1:7" ht="12.75" customHeight="1" x14ac:dyDescent="0.2">
      <c r="A31" s="28"/>
      <c r="B31" s="776"/>
      <c r="C31" s="776"/>
      <c r="D31" s="293"/>
      <c r="E31" s="78"/>
      <c r="F31" s="28"/>
      <c r="G31" s="28"/>
    </row>
    <row r="32" spans="1:7" x14ac:dyDescent="0.2">
      <c r="A32" s="28"/>
      <c r="B32" s="28"/>
      <c r="C32" s="28"/>
      <c r="D32" s="28"/>
      <c r="E32" s="28"/>
      <c r="F32" s="28"/>
      <c r="G32" s="28"/>
    </row>
    <row r="33" spans="1:7" x14ac:dyDescent="0.2">
      <c r="A33" s="28"/>
      <c r="B33" s="28"/>
      <c r="C33" s="28"/>
      <c r="D33" s="28"/>
      <c r="E33" s="28"/>
      <c r="F33" s="28"/>
      <c r="G33" s="28"/>
    </row>
    <row r="34" spans="1:7" x14ac:dyDescent="0.2">
      <c r="A34" s="28"/>
      <c r="B34" s="28"/>
      <c r="C34" s="28"/>
      <c r="D34" s="28"/>
      <c r="E34" s="28"/>
      <c r="F34" s="28"/>
      <c r="G34" s="28"/>
    </row>
    <row r="35" spans="1:7" x14ac:dyDescent="0.2">
      <c r="A35" s="28"/>
      <c r="B35" s="28"/>
      <c r="C35" s="28"/>
      <c r="D35" s="28"/>
      <c r="E35" s="28"/>
      <c r="F35" s="28"/>
      <c r="G35" s="28"/>
    </row>
    <row r="36" spans="1:7" x14ac:dyDescent="0.2">
      <c r="A36" s="28"/>
      <c r="B36" s="28"/>
      <c r="C36" s="28"/>
      <c r="D36" s="28"/>
      <c r="E36" s="28"/>
      <c r="F36" s="28"/>
      <c r="G36" s="28"/>
    </row>
    <row r="37" spans="1:7" x14ac:dyDescent="0.2">
      <c r="A37" s="28"/>
      <c r="B37" s="28"/>
      <c r="C37" s="28"/>
      <c r="D37" s="28"/>
      <c r="E37" s="28"/>
      <c r="F37" s="285"/>
      <c r="G37" s="28"/>
    </row>
    <row r="38" spans="1:7" x14ac:dyDescent="0.2">
      <c r="A38" s="28"/>
      <c r="B38" s="28"/>
      <c r="C38" s="28"/>
      <c r="D38" s="28"/>
      <c r="E38" s="28"/>
      <c r="F38" s="28"/>
      <c r="G38" s="28"/>
    </row>
    <row r="39" spans="1:7" x14ac:dyDescent="0.2">
      <c r="A39" s="28"/>
    </row>
  </sheetData>
  <mergeCells count="21">
    <mergeCell ref="B5:F5"/>
    <mergeCell ref="B6:F6"/>
    <mergeCell ref="B30:C31"/>
    <mergeCell ref="C24:F24"/>
    <mergeCell ref="B29:C29"/>
    <mergeCell ref="A25:F25"/>
    <mergeCell ref="A26:F26"/>
    <mergeCell ref="A27:F27"/>
    <mergeCell ref="A24:B24"/>
    <mergeCell ref="B7:F7"/>
    <mergeCell ref="A8:F8"/>
    <mergeCell ref="A14:E14"/>
    <mergeCell ref="A15:E15"/>
    <mergeCell ref="A9:B9"/>
    <mergeCell ref="C9:F9"/>
    <mergeCell ref="A11:A13"/>
    <mergeCell ref="A1:A3"/>
    <mergeCell ref="B1:E1"/>
    <mergeCell ref="B2:E2"/>
    <mergeCell ref="B3:E3"/>
    <mergeCell ref="B4:C4"/>
  </mergeCells>
  <printOptions horizontalCentered="1"/>
  <pageMargins left="0.7" right="0.7" top="0.75" bottom="0.75" header="0.3" footer="0.3"/>
  <pageSetup paperSize="9" scale="8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44"/>
  <sheetViews>
    <sheetView showGridLines="0" view="pageBreakPreview" zoomScaleNormal="70" zoomScaleSheetLayoutView="100" workbookViewId="0">
      <selection activeCell="G8" sqref="G8"/>
    </sheetView>
  </sheetViews>
  <sheetFormatPr defaultRowHeight="15" x14ac:dyDescent="0.25"/>
  <cols>
    <col min="1" max="1" width="15.7109375" style="1" customWidth="1"/>
    <col min="2" max="3" width="9.140625" style="1"/>
    <col min="4" max="4" width="81.140625" style="1" customWidth="1"/>
    <col min="5" max="5" width="12.140625" style="1" customWidth="1"/>
    <col min="6" max="16384" width="9.140625" style="1"/>
  </cols>
  <sheetData>
    <row r="1" spans="1:5" ht="18.75" customHeight="1" x14ac:dyDescent="0.25">
      <c r="A1" s="767"/>
      <c r="B1" s="552" t="s">
        <v>747</v>
      </c>
      <c r="C1" s="553"/>
      <c r="D1" s="554"/>
      <c r="E1" s="271" t="s">
        <v>748</v>
      </c>
    </row>
    <row r="2" spans="1:5" ht="18.75" customHeight="1" x14ac:dyDescent="0.25">
      <c r="A2" s="768"/>
      <c r="B2" s="555" t="s">
        <v>749</v>
      </c>
      <c r="C2" s="556"/>
      <c r="D2" s="557"/>
      <c r="E2" s="272">
        <f ca="1">NOW()</f>
        <v>43761.736742476853</v>
      </c>
    </row>
    <row r="3" spans="1:5" ht="18.75" customHeight="1" thickBot="1" x14ac:dyDescent="0.3">
      <c r="A3" s="768"/>
      <c r="B3" s="770" t="s">
        <v>750</v>
      </c>
      <c r="C3" s="771"/>
      <c r="D3" s="772"/>
      <c r="E3" s="258" t="s">
        <v>759</v>
      </c>
    </row>
    <row r="4" spans="1:5" x14ac:dyDescent="0.25">
      <c r="A4" s="255" t="s">
        <v>751</v>
      </c>
      <c r="B4" s="773">
        <f ca="1">NOW()</f>
        <v>43761.736742476853</v>
      </c>
      <c r="C4" s="773"/>
      <c r="D4" s="795" t="str">
        <f>'B1- ORÇAMENTO - PEV'!$D$6</f>
        <v>REF. SINAPI - 08/2019</v>
      </c>
      <c r="E4" s="796"/>
    </row>
    <row r="5" spans="1:5" x14ac:dyDescent="0.25">
      <c r="A5" s="256" t="s">
        <v>752</v>
      </c>
      <c r="B5" s="774" t="str">
        <f>'B1- ORÇAMENTO - PEV'!$B$7</f>
        <v>PONTO DE ENTREGA VOLUNTÁRIA DE PEQUENOS VOLUMES - PEV - PAPA ENTULHO</v>
      </c>
      <c r="C5" s="774"/>
      <c r="D5" s="774"/>
      <c r="E5" s="775"/>
    </row>
    <row r="6" spans="1:5" x14ac:dyDescent="0.25">
      <c r="A6" s="256" t="s">
        <v>753</v>
      </c>
      <c r="B6" s="774" t="str">
        <f>'B1- ORÇAMENTO - PEV'!$B$8</f>
        <v>NÚCLEO RURAL ALAGADO - PRÓXIMO AO CONJUNTO C DA AC-105</v>
      </c>
      <c r="C6" s="774"/>
      <c r="D6" s="774"/>
      <c r="E6" s="775"/>
    </row>
    <row r="7" spans="1:5" ht="15.75" thickBot="1" x14ac:dyDescent="0.3">
      <c r="A7" s="257" t="s">
        <v>754</v>
      </c>
      <c r="B7" s="779" t="str">
        <f>'B1- ORÇAMENTO - PEV'!$B$9</f>
        <v>PEV - SANTA MARIA</v>
      </c>
      <c r="C7" s="779"/>
      <c r="D7" s="779"/>
      <c r="E7" s="780"/>
    </row>
    <row r="8" spans="1:5" ht="33" customHeight="1" thickBot="1" x14ac:dyDescent="0.3">
      <c r="A8" s="814" t="s">
        <v>755</v>
      </c>
      <c r="B8" s="815"/>
      <c r="C8" s="815"/>
      <c r="D8" s="815"/>
      <c r="E8" s="816"/>
    </row>
    <row r="9" spans="1:5" ht="54" customHeight="1" thickTop="1" thickBot="1" x14ac:dyDescent="0.3">
      <c r="A9" s="811"/>
      <c r="B9" s="812"/>
      <c r="C9" s="812"/>
      <c r="D9" s="812"/>
      <c r="E9" s="813"/>
    </row>
    <row r="10" spans="1:5" ht="18.75" customHeight="1" thickTop="1" thickBot="1" x14ac:dyDescent="0.3">
      <c r="A10" s="805"/>
      <c r="B10" s="806"/>
      <c r="C10" s="806"/>
      <c r="D10" s="806"/>
      <c r="E10" s="807"/>
    </row>
    <row r="11" spans="1:5" ht="21" customHeight="1" thickTop="1" x14ac:dyDescent="0.25">
      <c r="A11" s="808" t="s">
        <v>34</v>
      </c>
      <c r="B11" s="809"/>
      <c r="C11" s="809"/>
      <c r="D11" s="809"/>
      <c r="E11" s="810"/>
    </row>
    <row r="12" spans="1:5" ht="30" customHeight="1" x14ac:dyDescent="0.25">
      <c r="A12" s="797" t="s">
        <v>35</v>
      </c>
      <c r="B12" s="798"/>
      <c r="C12" s="798"/>
      <c r="D12" s="798"/>
      <c r="E12" s="799"/>
    </row>
    <row r="13" spans="1:5" ht="39.75" customHeight="1" x14ac:dyDescent="0.25">
      <c r="A13" s="797" t="s">
        <v>36</v>
      </c>
      <c r="B13" s="798"/>
      <c r="C13" s="798"/>
      <c r="D13" s="798"/>
      <c r="E13" s="799"/>
    </row>
    <row r="14" spans="1:5" ht="25.5" customHeight="1" x14ac:dyDescent="0.25">
      <c r="A14" s="800" t="s">
        <v>37</v>
      </c>
      <c r="B14" s="801"/>
      <c r="C14" s="801"/>
      <c r="D14" s="801"/>
      <c r="E14" s="802"/>
    </row>
    <row r="15" spans="1:5" ht="25.5" customHeight="1" x14ac:dyDescent="0.25">
      <c r="A15" s="803" t="s">
        <v>38</v>
      </c>
      <c r="B15" s="804"/>
      <c r="C15" s="804"/>
      <c r="D15" s="804"/>
      <c r="E15" s="276"/>
    </row>
    <row r="16" spans="1:5" ht="26.25" customHeight="1" x14ac:dyDescent="0.25">
      <c r="A16" s="803" t="s">
        <v>39</v>
      </c>
      <c r="B16" s="804"/>
      <c r="C16" s="804"/>
      <c r="D16" s="804"/>
      <c r="E16" s="276"/>
    </row>
    <row r="17" spans="1:8" ht="37.5" customHeight="1" x14ac:dyDescent="0.25">
      <c r="A17" s="846" t="s">
        <v>40</v>
      </c>
      <c r="B17" s="847"/>
      <c r="C17" s="847"/>
      <c r="D17" s="848"/>
      <c r="E17" s="276"/>
    </row>
    <row r="18" spans="1:8" ht="26.25" customHeight="1" x14ac:dyDescent="0.25">
      <c r="A18" s="803" t="s">
        <v>41</v>
      </c>
      <c r="B18" s="804"/>
      <c r="C18" s="804"/>
      <c r="D18" s="804"/>
      <c r="E18" s="276"/>
    </row>
    <row r="19" spans="1:8" ht="24" customHeight="1" thickBot="1" x14ac:dyDescent="0.3">
      <c r="A19" s="820" t="s">
        <v>42</v>
      </c>
      <c r="B19" s="821"/>
      <c r="C19" s="821"/>
      <c r="D19" s="821"/>
      <c r="E19" s="277"/>
    </row>
    <row r="20" spans="1:8" ht="25.5" customHeight="1" thickBot="1" x14ac:dyDescent="0.3">
      <c r="A20" s="822" t="s">
        <v>43</v>
      </c>
      <c r="B20" s="823"/>
      <c r="C20" s="823"/>
      <c r="D20" s="823"/>
      <c r="E20" s="278">
        <f>E15+E16+E17+E18+E19</f>
        <v>0</v>
      </c>
      <c r="G20" s="2"/>
    </row>
    <row r="21" spans="1:8" ht="27.75" customHeight="1" x14ac:dyDescent="0.25">
      <c r="A21" s="849" t="s">
        <v>44</v>
      </c>
      <c r="B21" s="850"/>
      <c r="C21" s="850"/>
      <c r="D21" s="850"/>
      <c r="E21" s="851"/>
      <c r="H21" s="3"/>
    </row>
    <row r="22" spans="1:8" ht="21" customHeight="1" x14ac:dyDescent="0.25">
      <c r="A22" s="846" t="s">
        <v>744</v>
      </c>
      <c r="B22" s="852"/>
      <c r="C22" s="852"/>
      <c r="D22" s="853"/>
      <c r="E22" s="276"/>
    </row>
    <row r="23" spans="1:8" ht="21" customHeight="1" x14ac:dyDescent="0.25">
      <c r="A23" s="803" t="s">
        <v>742</v>
      </c>
      <c r="B23" s="804"/>
      <c r="C23" s="804"/>
      <c r="D23" s="804"/>
      <c r="E23" s="276"/>
    </row>
    <row r="24" spans="1:8" ht="21" customHeight="1" x14ac:dyDescent="0.25">
      <c r="A24" s="803" t="s">
        <v>743</v>
      </c>
      <c r="B24" s="804"/>
      <c r="C24" s="804"/>
      <c r="D24" s="804"/>
      <c r="E24" s="276"/>
    </row>
    <row r="25" spans="1:8" ht="21" customHeight="1" x14ac:dyDescent="0.25">
      <c r="A25" s="803" t="s">
        <v>45</v>
      </c>
      <c r="B25" s="804"/>
      <c r="C25" s="804"/>
      <c r="D25" s="804"/>
      <c r="E25" s="276"/>
    </row>
    <row r="26" spans="1:8" ht="21" customHeight="1" x14ac:dyDescent="0.25">
      <c r="A26" s="803" t="s">
        <v>46</v>
      </c>
      <c r="B26" s="804"/>
      <c r="C26" s="804"/>
      <c r="D26" s="804"/>
      <c r="E26" s="276"/>
    </row>
    <row r="27" spans="1:8" ht="21" customHeight="1" x14ac:dyDescent="0.25">
      <c r="A27" s="803" t="s">
        <v>47</v>
      </c>
      <c r="B27" s="804"/>
      <c r="C27" s="804"/>
      <c r="D27" s="804"/>
      <c r="E27" s="276"/>
    </row>
    <row r="28" spans="1:8" ht="21" customHeight="1" thickBot="1" x14ac:dyDescent="0.3">
      <c r="A28" s="820" t="s">
        <v>48</v>
      </c>
      <c r="B28" s="821"/>
      <c r="C28" s="821"/>
      <c r="D28" s="821"/>
      <c r="E28" s="277"/>
    </row>
    <row r="29" spans="1:8" ht="25.5" customHeight="1" thickBot="1" x14ac:dyDescent="0.3">
      <c r="A29" s="822" t="s">
        <v>49</v>
      </c>
      <c r="B29" s="823"/>
      <c r="C29" s="823"/>
      <c r="D29" s="823"/>
      <c r="E29" s="278">
        <f>SUM(E22:E28)</f>
        <v>0</v>
      </c>
    </row>
    <row r="30" spans="1:8" ht="21" customHeight="1" x14ac:dyDescent="0.25">
      <c r="A30" s="824" t="s">
        <v>50</v>
      </c>
      <c r="B30" s="825"/>
      <c r="C30" s="825"/>
      <c r="D30" s="825"/>
      <c r="E30" s="826"/>
    </row>
    <row r="31" spans="1:8" ht="41.25" customHeight="1" x14ac:dyDescent="0.25">
      <c r="A31" s="827"/>
      <c r="B31" s="828"/>
      <c r="C31" s="828"/>
      <c r="D31" s="828"/>
      <c r="E31" s="829"/>
    </row>
    <row r="32" spans="1:8" ht="19.5" thickBot="1" x14ac:dyDescent="0.3">
      <c r="A32" s="830">
        <f>(1+E20)/(1-E29)-1</f>
        <v>0</v>
      </c>
      <c r="B32" s="831"/>
      <c r="C32" s="831"/>
      <c r="D32" s="831"/>
      <c r="E32" s="832"/>
    </row>
    <row r="33" spans="1:6" ht="21" customHeight="1" thickBot="1" x14ac:dyDescent="0.3">
      <c r="A33" s="833" t="s">
        <v>51</v>
      </c>
      <c r="B33" s="834"/>
      <c r="C33" s="835"/>
      <c r="D33" s="836">
        <f>A32</f>
        <v>0</v>
      </c>
      <c r="E33" s="837"/>
    </row>
    <row r="34" spans="1:6" ht="19.5" customHeight="1" x14ac:dyDescent="0.25">
      <c r="A34" s="817"/>
      <c r="B34" s="818"/>
      <c r="C34" s="818"/>
      <c r="D34" s="818"/>
      <c r="E34" s="819"/>
      <c r="F34" s="4"/>
    </row>
    <row r="35" spans="1:6" x14ac:dyDescent="0.25">
      <c r="A35" s="817"/>
      <c r="B35" s="818"/>
      <c r="C35" s="818"/>
      <c r="D35" s="818"/>
      <c r="E35" s="819"/>
    </row>
    <row r="36" spans="1:6" x14ac:dyDescent="0.25">
      <c r="A36" s="817"/>
      <c r="B36" s="818"/>
      <c r="C36" s="818"/>
      <c r="D36" s="818"/>
      <c r="E36" s="819"/>
    </row>
    <row r="37" spans="1:6" x14ac:dyDescent="0.25">
      <c r="A37" s="817"/>
      <c r="B37" s="818"/>
      <c r="C37" s="818"/>
      <c r="D37" s="818"/>
      <c r="E37" s="819"/>
    </row>
    <row r="38" spans="1:6" ht="13.5" customHeight="1" x14ac:dyDescent="0.25">
      <c r="A38" s="817"/>
      <c r="B38" s="818"/>
      <c r="C38" s="818"/>
      <c r="D38" s="818"/>
      <c r="E38" s="819"/>
    </row>
    <row r="39" spans="1:6" ht="12" customHeight="1" x14ac:dyDescent="0.25">
      <c r="A39" s="841"/>
      <c r="B39" s="842"/>
      <c r="C39" s="842"/>
      <c r="D39" s="842"/>
      <c r="E39" s="843"/>
    </row>
    <row r="40" spans="1:6" ht="13.5" customHeight="1" x14ac:dyDescent="0.25">
      <c r="A40" s="841"/>
      <c r="B40" s="842"/>
      <c r="C40" s="842"/>
      <c r="D40" s="842"/>
      <c r="E40" s="843"/>
    </row>
    <row r="41" spans="1:6" ht="15.75" customHeight="1" thickBot="1" x14ac:dyDescent="0.3">
      <c r="A41" s="844" t="s">
        <v>52</v>
      </c>
      <c r="B41" s="845"/>
      <c r="C41" s="845"/>
      <c r="D41" s="845"/>
      <c r="E41" s="279">
        <f ca="1">'B1- ORÇAMENTO - PEV'!F4</f>
        <v>43761.736742476853</v>
      </c>
    </row>
    <row r="42" spans="1:6" ht="60" customHeight="1" thickTop="1" thickBot="1" x14ac:dyDescent="0.3">
      <c r="A42" s="838" t="s">
        <v>53</v>
      </c>
      <c r="B42" s="839"/>
      <c r="C42" s="839"/>
      <c r="D42" s="839"/>
      <c r="E42" s="840"/>
    </row>
    <row r="43" spans="1:6" ht="19.5" thickTop="1" x14ac:dyDescent="0.3">
      <c r="D43" s="5"/>
      <c r="E43" s="5"/>
    </row>
    <row r="44" spans="1:6" ht="18.75" x14ac:dyDescent="0.3">
      <c r="D44" s="5"/>
      <c r="E44" s="5"/>
    </row>
  </sheetData>
  <mergeCells count="45">
    <mergeCell ref="A16:D16"/>
    <mergeCell ref="A17:D17"/>
    <mergeCell ref="A24:D24"/>
    <mergeCell ref="A23:D23"/>
    <mergeCell ref="A18:D18"/>
    <mergeCell ref="A19:D19"/>
    <mergeCell ref="A20:D20"/>
    <mergeCell ref="A21:E21"/>
    <mergeCell ref="A22:D22"/>
    <mergeCell ref="A42:E42"/>
    <mergeCell ref="A36:E36"/>
    <mergeCell ref="A37:E37"/>
    <mergeCell ref="A38:E38"/>
    <mergeCell ref="A39:E39"/>
    <mergeCell ref="A40:E40"/>
    <mergeCell ref="A41:D41"/>
    <mergeCell ref="A35:E35"/>
    <mergeCell ref="A25:D25"/>
    <mergeCell ref="A26:D26"/>
    <mergeCell ref="A27:D27"/>
    <mergeCell ref="A28:D28"/>
    <mergeCell ref="A29:D29"/>
    <mergeCell ref="A30:E30"/>
    <mergeCell ref="A31:E31"/>
    <mergeCell ref="A32:E32"/>
    <mergeCell ref="A33:C33"/>
    <mergeCell ref="D33:E33"/>
    <mergeCell ref="A34:E34"/>
    <mergeCell ref="B5:E5"/>
    <mergeCell ref="B6:E6"/>
    <mergeCell ref="B7:E7"/>
    <mergeCell ref="A9:E9"/>
    <mergeCell ref="A8:E8"/>
    <mergeCell ref="A13:E13"/>
    <mergeCell ref="A14:E14"/>
    <mergeCell ref="A15:D15"/>
    <mergeCell ref="A12:E12"/>
    <mergeCell ref="A10:E10"/>
    <mergeCell ref="A11:E11"/>
    <mergeCell ref="A1:A3"/>
    <mergeCell ref="B1:D1"/>
    <mergeCell ref="B2:D2"/>
    <mergeCell ref="B3:D3"/>
    <mergeCell ref="B4:C4"/>
    <mergeCell ref="D4:E4"/>
  </mergeCells>
  <printOptions horizontalCentered="1"/>
  <pageMargins left="0.32" right="0.34" top="0.47244094488188981" bottom="0.78740157480314965" header="0.31496062992125984" footer="0.31496062992125984"/>
  <pageSetup paperSize="9" scale="7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47190" r:id="rId4">
          <objectPr defaultSize="0" autoPict="0" r:id="rId5">
            <anchor moveWithCells="1" sizeWithCells="1">
              <from>
                <xdr:col>3</xdr:col>
                <xdr:colOff>657225</xdr:colOff>
                <xdr:row>7</xdr:row>
                <xdr:rowOff>123825</xdr:rowOff>
              </from>
              <to>
                <xdr:col>3</xdr:col>
                <xdr:colOff>1466850</xdr:colOff>
                <xdr:row>7</xdr:row>
                <xdr:rowOff>419100</xdr:rowOff>
              </to>
            </anchor>
          </objectPr>
        </oleObject>
      </mc:Choice>
      <mc:Fallback>
        <oleObject progId="Equation.DSMT4" shapeId="47190" r:id="rId4"/>
      </mc:Fallback>
    </mc:AlternateContent>
    <mc:AlternateContent xmlns:mc="http://schemas.openxmlformats.org/markup-compatibility/2006">
      <mc:Choice Requires="x14">
        <oleObject progId="Equation.DSMT4" shapeId="47191" r:id="rId6">
          <objectPr defaultSize="0" autoPict="0" r:id="rId7">
            <anchor moveWithCells="1" sizeWithCells="1">
              <from>
                <xdr:col>3</xdr:col>
                <xdr:colOff>257175</xdr:colOff>
                <xdr:row>22</xdr:row>
                <xdr:rowOff>123825</xdr:rowOff>
              </from>
              <to>
                <xdr:col>3</xdr:col>
                <xdr:colOff>2152650</xdr:colOff>
                <xdr:row>23</xdr:row>
                <xdr:rowOff>152400</xdr:rowOff>
              </to>
            </anchor>
          </objectPr>
        </oleObject>
      </mc:Choice>
      <mc:Fallback>
        <oleObject progId="Equation.DSMT4" shapeId="4719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B1- ORÇAMENTO - PEV</vt:lpstr>
      <vt:lpstr>B2 - TOTEM</vt:lpstr>
      <vt:lpstr>B3 - MEMORIA</vt:lpstr>
      <vt:lpstr>B4 - BAIAS</vt:lpstr>
      <vt:lpstr>B5 - COMPOSIÇÃO</vt:lpstr>
      <vt:lpstr>C - FÍSICO FINANCEIRO</vt:lpstr>
      <vt:lpstr>D - DESEMBOLSO</vt:lpstr>
      <vt:lpstr>E - BDI</vt:lpstr>
      <vt:lpstr>'B1- ORÇAMENTO - PEV'!Area_de_impressao</vt:lpstr>
      <vt:lpstr>'B2 - TOTEM'!Area_de_impressao</vt:lpstr>
      <vt:lpstr>'B3 - MEMORIA'!Area_de_impressao</vt:lpstr>
      <vt:lpstr>'B4 - BAIAS'!Area_de_impressao</vt:lpstr>
      <vt:lpstr>'B5 - COMPOSIÇÃO'!Area_de_impressao</vt:lpstr>
      <vt:lpstr>'C - FÍSICO FINANCEIRO'!Area_de_impressao</vt:lpstr>
      <vt:lpstr>'D - DESEMBOLSO'!Area_de_impressao</vt:lpstr>
      <vt:lpstr>'B1- ORÇAMENTO - PEV'!Titulos_de_impressao</vt:lpstr>
      <vt:lpstr>'B3 - MEMORIA'!Titulos_de_impressao</vt:lpstr>
      <vt:lpstr>'B4 - BAIAS'!Titulos_de_impressao</vt:lpstr>
      <vt:lpstr>'B5 - COMPOSIÇÃO'!Titulos_de_impressao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francisco.filho</dc:creator>
  <cp:lastModifiedBy>Glayson Luiz Alvarenga Chamiço</cp:lastModifiedBy>
  <cp:lastPrinted>2019-10-23T20:40:47Z</cp:lastPrinted>
  <dcterms:created xsi:type="dcterms:W3CDTF">2008-12-18T10:52:52Z</dcterms:created>
  <dcterms:modified xsi:type="dcterms:W3CDTF">2019-10-23T20:40:54Z</dcterms:modified>
</cp:coreProperties>
</file>